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60" windowWidth="13155" windowHeight="5910" activeTab="1"/>
  </bookViews>
  <sheets>
    <sheet name="1_ALAPADATOK" sheetId="1" r:id="rId1"/>
    <sheet name="2_IRR_BMR_SZÁMÍTÁS" sheetId="2" r:id="rId2"/>
    <sheet name="3_EKS_2014" sheetId="4" r:id="rId3"/>
  </sheets>
  <definedNames>
    <definedName name="_xlnm.Print_Area" localSheetId="1">'2_IRR_BMR_SZÁMÍTÁS'!$A$1:$O$47</definedName>
  </definedNames>
  <calcPr calcId="125725"/>
</workbook>
</file>

<file path=xl/calcChain.xml><?xml version="1.0" encoding="utf-8"?>
<calcChain xmlns="http://schemas.openxmlformats.org/spreadsheetml/2006/main">
  <c r="E29" i="2"/>
  <c r="F29"/>
  <c r="G29"/>
  <c r="H29"/>
  <c r="I29"/>
  <c r="J29"/>
  <c r="K29"/>
  <c r="L29"/>
  <c r="N11"/>
  <c r="F9" s="1"/>
  <c r="C40" s="1"/>
  <c r="M26"/>
  <c r="M24"/>
  <c r="N20"/>
  <c r="M20"/>
  <c r="L20"/>
  <c r="K20"/>
  <c r="J20"/>
  <c r="I20"/>
  <c r="H20"/>
  <c r="G20"/>
  <c r="F20"/>
  <c r="E20"/>
  <c r="D20"/>
  <c r="F34" i="1"/>
  <c r="F35"/>
  <c r="F36"/>
  <c r="F37"/>
  <c r="F38"/>
  <c r="F39"/>
  <c r="F40"/>
  <c r="F41"/>
  <c r="F42"/>
  <c r="F33"/>
  <c r="N18" i="2"/>
  <c r="M18"/>
  <c r="L18"/>
  <c r="K18"/>
  <c r="J18"/>
  <c r="I18"/>
  <c r="H18"/>
  <c r="G18"/>
  <c r="F18"/>
  <c r="E18"/>
  <c r="D18"/>
  <c r="N16"/>
  <c r="M16"/>
  <c r="L16"/>
  <c r="K16"/>
  <c r="J16"/>
  <c r="I16"/>
  <c r="H16"/>
  <c r="G16"/>
  <c r="F16"/>
  <c r="E16"/>
  <c r="D16"/>
  <c r="D15"/>
  <c r="E15" s="1"/>
  <c r="F15" s="1"/>
  <c r="G15" s="1"/>
  <c r="H15" s="1"/>
  <c r="I15" s="1"/>
  <c r="J15" s="1"/>
  <c r="K15" s="1"/>
  <c r="L15" s="1"/>
  <c r="M15" s="1"/>
  <c r="N15" s="1"/>
  <c r="N21" s="1"/>
  <c r="E32" i="1"/>
  <c r="H22"/>
  <c r="H23"/>
  <c r="H24"/>
  <c r="H25"/>
  <c r="H26"/>
  <c r="H27"/>
  <c r="H28"/>
  <c r="H29"/>
  <c r="H30"/>
  <c r="H21"/>
  <c r="F22"/>
  <c r="F23"/>
  <c r="F24"/>
  <c r="F25"/>
  <c r="F26"/>
  <c r="F27"/>
  <c r="F28"/>
  <c r="F29"/>
  <c r="F30"/>
  <c r="F21"/>
  <c r="E20"/>
  <c r="E4" i="2"/>
  <c r="E5"/>
  <c r="E3"/>
  <c r="E18" i="1"/>
  <c r="E16"/>
  <c r="E14"/>
  <c r="E11"/>
  <c r="E12" s="1"/>
  <c r="E6" i="2" s="1"/>
  <c r="E10" i="1"/>
  <c r="E9"/>
  <c r="R27" i="4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E7" i="2" l="1"/>
  <c r="E17"/>
  <c r="F17"/>
  <c r="F19" s="1"/>
  <c r="G17"/>
  <c r="H17"/>
  <c r="H19" s="1"/>
  <c r="I17"/>
  <c r="J17"/>
  <c r="J19" s="1"/>
  <c r="K17"/>
  <c r="L17"/>
  <c r="L19" s="1"/>
  <c r="M17"/>
  <c r="N17"/>
  <c r="N22" s="1"/>
  <c r="M23" s="1"/>
  <c r="M25" s="1"/>
  <c r="M27" s="1"/>
  <c r="M29" s="1"/>
  <c r="D17"/>
  <c r="D21"/>
  <c r="M21"/>
  <c r="M22" s="1"/>
  <c r="L21"/>
  <c r="L22" s="1"/>
  <c r="L28" s="1"/>
  <c r="K21"/>
  <c r="K22" s="1"/>
  <c r="K28" s="1"/>
  <c r="J21"/>
  <c r="J22" s="1"/>
  <c r="J28" s="1"/>
  <c r="I21"/>
  <c r="I22" s="1"/>
  <c r="I28" s="1"/>
  <c r="H21"/>
  <c r="H22" s="1"/>
  <c r="H28" s="1"/>
  <c r="G21"/>
  <c r="G22" s="1"/>
  <c r="G28" s="1"/>
  <c r="F21"/>
  <c r="F22" s="1"/>
  <c r="F28" s="1"/>
  <c r="E21"/>
  <c r="E22" s="1"/>
  <c r="E28" s="1"/>
  <c r="E19"/>
  <c r="G19"/>
  <c r="I19"/>
  <c r="K19"/>
  <c r="M19"/>
  <c r="G6"/>
  <c r="G5"/>
  <c r="I3"/>
  <c r="I4"/>
  <c r="I5"/>
  <c r="I6"/>
  <c r="K3"/>
  <c r="K4"/>
  <c r="K7" s="1"/>
  <c r="K5"/>
  <c r="K6"/>
  <c r="D5"/>
  <c r="D4"/>
  <c r="D6"/>
  <c r="D3"/>
  <c r="N19" l="1"/>
  <c r="M28"/>
  <c r="D7"/>
  <c r="C34" s="1"/>
  <c r="C33"/>
  <c r="D22"/>
  <c r="D19"/>
  <c r="M5"/>
  <c r="L5" s="1"/>
  <c r="M6"/>
  <c r="L6" s="1"/>
  <c r="I7"/>
  <c r="E5" i="1" l="1"/>
  <c r="E6" s="1"/>
  <c r="E4"/>
  <c r="G3" i="2" l="1"/>
  <c r="G4"/>
  <c r="M4" s="1"/>
  <c r="L4" s="1"/>
  <c r="G7" l="1"/>
  <c r="M7" s="1"/>
  <c r="C36" s="1"/>
  <c r="C37" s="1"/>
  <c r="M3"/>
  <c r="L3" s="1"/>
  <c r="L7" l="1"/>
  <c r="E9"/>
  <c r="G9" l="1"/>
  <c r="M9" s="1"/>
  <c r="D14" l="1"/>
  <c r="C41"/>
  <c r="C42" s="1"/>
  <c r="D28" l="1"/>
  <c r="C28" s="1"/>
  <c r="C44" s="1"/>
  <c r="D29"/>
</calcChain>
</file>

<file path=xl/sharedStrings.xml><?xml version="1.0" encoding="utf-8"?>
<sst xmlns="http://schemas.openxmlformats.org/spreadsheetml/2006/main" count="120" uniqueCount="105">
  <si>
    <t>TELJES TELEKNAGYSÁG:</t>
  </si>
  <si>
    <t>TERMELÉSHEZ IGÉNYBEVETT:</t>
  </si>
  <si>
    <t>ARÁNY:</t>
  </si>
  <si>
    <t>TARTALÉK/FELESLEGES TERÜLET:</t>
  </si>
  <si>
    <t>STATISZTIKAI ADATSOROK AZ ÚJRAELŐÁLLÍTÁSI KÖLTSÉG KALKULÁCIÓJÁHOZ  - ÉKS-2014</t>
  </si>
  <si>
    <r>
      <t>Ft/m</t>
    </r>
    <r>
      <rPr>
        <b/>
        <vertAlign val="superscript"/>
        <sz val="12"/>
        <rFont val="Garamond"/>
        <family val="1"/>
        <charset val="238"/>
      </rPr>
      <t>2</t>
    </r>
    <r>
      <rPr>
        <b/>
        <sz val="12"/>
        <rFont val="Garamond"/>
        <family val="1"/>
        <charset val="238"/>
      </rPr>
      <t>+ÁFA</t>
    </r>
  </si>
  <si>
    <t>Sorsz.</t>
  </si>
  <si>
    <t>Megnevezés</t>
  </si>
  <si>
    <t>Pálya  és
lelátó építés</t>
  </si>
  <si>
    <t>Szerkezet +szakipar</t>
  </si>
  <si>
    <t>Központi fűtés</t>
  </si>
  <si>
    <t>Víz- és csatornázás</t>
  </si>
  <si>
    <t>Sprinkler</t>
  </si>
  <si>
    <t>Szellőzés</t>
  </si>
  <si>
    <t>Felvonó</t>
  </si>
  <si>
    <t>Épület
villamosság</t>
  </si>
  <si>
    <t>Térvilágítás</t>
  </si>
  <si>
    <t>Külső
közmű</t>
  </si>
  <si>
    <t>Technoló-gia</t>
  </si>
  <si>
    <t>Sporteszköz/mobilia</t>
  </si>
  <si>
    <t>Tervezés</t>
  </si>
  <si>
    <t>Összesen</t>
  </si>
  <si>
    <t>Telepszerű
lakóépület</t>
  </si>
  <si>
    <t>Társasházi
lakóépület</t>
  </si>
  <si>
    <t>Társasházi
foghíj va. rehabilitáció</t>
  </si>
  <si>
    <t>Családi
ház</t>
  </si>
  <si>
    <t>Irodaház-1
középszintű</t>
  </si>
  <si>
    <t xml:space="preserve"> </t>
  </si>
  <si>
    <t>Irodaház-2
magas igényszintű</t>
  </si>
  <si>
    <t>Iroda-3
földszintes</t>
  </si>
  <si>
    <t>Iskola épület
többszintes</t>
  </si>
  <si>
    <t>Óvoda (200 fh)
városi foghíj</t>
  </si>
  <si>
    <t>Megvalósult egészségügyi intézmények</t>
  </si>
  <si>
    <t>Tanuszoda-1
"A" 1/136 m2 vízfelület</t>
  </si>
  <si>
    <t>Tanuszoda-2
"B" 2/350 m2 vízfelület</t>
  </si>
  <si>
    <t>Tornaterem-1
"A" 12*24 méter</t>
  </si>
  <si>
    <t>Tornaterem-2
"B" 16*30 méter</t>
  </si>
  <si>
    <t>Tornaterem-3
"C2" 27*45 méter</t>
  </si>
  <si>
    <t>Multifunkcionális
sport/rendezv.csarnok 8.000m2</t>
  </si>
  <si>
    <t>Szabadtéri
teniszstadion-1.000 m2</t>
  </si>
  <si>
    <t>Szabadtéri
élőfüves (6.800 m2)</t>
  </si>
  <si>
    <t>Szabadtéri
műfüves (1.000 nm)</t>
  </si>
  <si>
    <t>Lakóépület
alápincézés</t>
  </si>
  <si>
    <t>Iroda
mélygarázs</t>
  </si>
  <si>
    <t>Könnyűszerkezetes
raktár (bútorraktár)</t>
  </si>
  <si>
    <t>Szilikát bázisú
raktár (hőszigetelt)</t>
  </si>
  <si>
    <t>Forrás: Építőipari Költségbecslési Segédlet (ÉTK, 2014.)</t>
  </si>
  <si>
    <t>SZERÉNY KIVITEL SZORZÓJA</t>
  </si>
  <si>
    <t>LUXUS KIVITEL SZORZÓJA</t>
  </si>
  <si>
    <t>TELEPSZERŰ</t>
  </si>
  <si>
    <t>TÁRSASHÁZI</t>
  </si>
  <si>
    <t>CSALÁDI HÁZ</t>
  </si>
  <si>
    <t>(ILL FELSŐ HATÁR  NÉLKÜL)</t>
  </si>
  <si>
    <t>ÉPÜLET NETTÓ HASZNOS:</t>
  </si>
  <si>
    <t>ÉPIÍTÉSI/NETTÓ HASZNOS:</t>
  </si>
  <si>
    <t>ÉPÍTETT ALAPTERÜLET:</t>
  </si>
  <si>
    <t>FAJLAGOS ÚJ ÉRTÉK-1:</t>
  </si>
  <si>
    <t>FAJLAGOS ÚJ ÉRTÉK-2:</t>
  </si>
  <si>
    <t>EUR/HUF ÁRFOLYAM:</t>
  </si>
  <si>
    <t>FAJLAGOS ÚJ ÉRTÉK-3:</t>
  </si>
  <si>
    <t xml:space="preserve"> /m2</t>
  </si>
  <si>
    <t>TERMELÉSI TELEK FAJLAGOS-1:</t>
  </si>
  <si>
    <t>TERMELÉSI TELEK FAJLAGOS-2:</t>
  </si>
  <si>
    <t>TARTALÉK TELEK FAJLAGOS-1:</t>
  </si>
  <si>
    <t>TARTALÉK TELEK FAJLAGOS-2:</t>
  </si>
  <si>
    <t>TERMELÉSI TELEK  INFRASTRUKTÚRA-1:</t>
  </si>
  <si>
    <t>TERMELÉSI TELEK  INFRASTRUKTÚRA-2:</t>
  </si>
  <si>
    <t xml:space="preserve"> /telek-2m2</t>
  </si>
  <si>
    <t xml:space="preserve"> /telek-1m2</t>
  </si>
  <si>
    <t xml:space="preserve"> /épületm2</t>
  </si>
  <si>
    <t xml:space="preserve"> épület nettóm2</t>
  </si>
  <si>
    <t xml:space="preserve"> épütésim2</t>
  </si>
  <si>
    <t>teljes telek  m2</t>
  </si>
  <si>
    <t xml:space="preserve"> telek-1m2</t>
  </si>
  <si>
    <t xml:space="preserve"> telek-2m2</t>
  </si>
  <si>
    <t>Termelési telek értéke:</t>
  </si>
  <si>
    <t>Teremelési telek F.F értéke:</t>
  </si>
  <si>
    <t>Épület értéke:</t>
  </si>
  <si>
    <t>Ingatlan értéke:</t>
  </si>
  <si>
    <t>Tartalékterület telek értéke:</t>
  </si>
  <si>
    <t>ÚJ ÉRTÉK</t>
  </si>
  <si>
    <t xml:space="preserve">FIZIKAI </t>
  </si>
  <si>
    <t>FUNKCIONÁLIS</t>
  </si>
  <si>
    <t>GAZDASÁGI</t>
  </si>
  <si>
    <t>ÖSSZES</t>
  </si>
  <si>
    <t>STIGMA HATÁS</t>
  </si>
  <si>
    <t>FOGLALTSÁG</t>
  </si>
  <si>
    <t>HOSSZÚTÁVÚ NÖVEKEDÉSI RÁTA:</t>
  </si>
  <si>
    <t>EXIT RÁTA:</t>
  </si>
  <si>
    <t>DCF MODELL</t>
  </si>
  <si>
    <t>FELTÉTELEZETT VÉTEL:</t>
  </si>
  <si>
    <t>Potenciális bevétel:</t>
  </si>
  <si>
    <t>Tényleges bevétel:</t>
  </si>
  <si>
    <t>MŰKÖDÉS EGYENLEGE:</t>
  </si>
  <si>
    <t>Méret:</t>
  </si>
  <si>
    <t>Bérleti díj:</t>
  </si>
  <si>
    <t>Foglaltság:</t>
  </si>
  <si>
    <t>Üzemeltetés kiadásai-1:</t>
  </si>
  <si>
    <t>Üzemeltetés kiadásai-2:</t>
  </si>
  <si>
    <t>KOMISSIÓ:</t>
  </si>
  <si>
    <t>ÖSSZEFOGLALÁS:</t>
  </si>
  <si>
    <t>AMORTIZÁLT ÉRTÉK</t>
  </si>
  <si>
    <t>HIPOTETIKUS PIACI ÉRTÉK</t>
  </si>
  <si>
    <t>Stigma hatás:</t>
  </si>
  <si>
    <t>BELSŐ MEGTÉRÜLÉSI RÁTA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</si>
</sst>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,##0\ &quot;Ft&quot;"/>
    <numFmt numFmtId="166" formatCode="#,##0.00\ &quot;Ft&quot;"/>
    <numFmt numFmtId="167" formatCode="[$€-2]\ #,##0"/>
    <numFmt numFmtId="168" formatCode="[$€-2]\ #,##0.00"/>
    <numFmt numFmtId="169" formatCode="0.0%"/>
  </numFmts>
  <fonts count="21">
    <font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000099"/>
      <name val="Calibri"/>
      <family val="2"/>
      <charset val="238"/>
      <scheme val="minor"/>
    </font>
    <font>
      <sz val="10"/>
      <name val="Garamond"/>
      <family val="1"/>
      <charset val="238"/>
    </font>
    <font>
      <b/>
      <sz val="18"/>
      <name val="Garamond"/>
      <family val="1"/>
      <charset val="238"/>
    </font>
    <font>
      <b/>
      <sz val="12"/>
      <name val="Garamond"/>
      <family val="1"/>
      <charset val="238"/>
    </font>
    <font>
      <b/>
      <vertAlign val="superscript"/>
      <sz val="12"/>
      <name val="Garamond"/>
      <family val="1"/>
      <charset val="238"/>
    </font>
    <font>
      <b/>
      <sz val="14"/>
      <name val="Garamond"/>
      <family val="1"/>
      <charset val="238"/>
    </font>
    <font>
      <sz val="11"/>
      <name val="Garamond"/>
      <family val="1"/>
      <charset val="238"/>
    </font>
    <font>
      <b/>
      <sz val="14"/>
      <color indexed="10"/>
      <name val="Garamond"/>
      <family val="1"/>
      <charset val="238"/>
    </font>
    <font>
      <b/>
      <sz val="12"/>
      <color indexed="10"/>
      <name val="Garamond"/>
      <family val="1"/>
      <charset val="238"/>
    </font>
    <font>
      <b/>
      <sz val="14"/>
      <color indexed="30"/>
      <name val="Garamond"/>
      <family val="1"/>
      <charset val="238"/>
    </font>
    <font>
      <i/>
      <sz val="11"/>
      <name val="Garamond"/>
      <family val="1"/>
      <charset val="238"/>
    </font>
    <font>
      <b/>
      <i/>
      <sz val="14"/>
      <color indexed="10"/>
      <name val="Garamond"/>
      <family val="1"/>
      <charset val="238"/>
    </font>
    <font>
      <b/>
      <i/>
      <sz val="12"/>
      <color indexed="10"/>
      <name val="Garamond"/>
      <family val="1"/>
      <charset val="238"/>
    </font>
    <font>
      <b/>
      <i/>
      <sz val="14"/>
      <name val="Garamond"/>
      <family val="1"/>
      <charset val="238"/>
    </font>
    <font>
      <b/>
      <sz val="14"/>
      <color theme="0" tint="-0.14999847407452621"/>
      <name val="Garamond"/>
      <family val="1"/>
      <charset val="238"/>
    </font>
    <font>
      <b/>
      <i/>
      <sz val="14"/>
      <color theme="0" tint="-0.14999847407452621"/>
      <name val="Garamond"/>
      <family val="1"/>
      <charset val="238"/>
    </font>
    <font>
      <sz val="10"/>
      <color indexed="10"/>
      <name val="Garamond"/>
      <family val="1"/>
      <charset val="238"/>
    </font>
    <font>
      <b/>
      <sz val="10"/>
      <color indexed="10"/>
      <name val="Garamond"/>
      <family val="1"/>
      <charset val="238"/>
    </font>
    <font>
      <b/>
      <sz val="18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3" fontId="1" fillId="0" borderId="0" xfId="0" applyNumberFormat="1" applyFont="1"/>
    <xf numFmtId="9" fontId="0" fillId="0" borderId="0" xfId="0" applyNumberFormat="1"/>
    <xf numFmtId="9" fontId="2" fillId="0" borderId="0" xfId="0" applyNumberFormat="1" applyFont="1"/>
    <xf numFmtId="3" fontId="2" fillId="0" borderId="0" xfId="0" applyNumberFormat="1" applyFont="1"/>
    <xf numFmtId="0" fontId="3" fillId="0" borderId="0" xfId="0" applyFont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center" wrapText="1"/>
    </xf>
    <xf numFmtId="3" fontId="7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/>
    <xf numFmtId="0" fontId="8" fillId="0" borderId="0" xfId="0" applyFont="1" applyAlignment="1"/>
    <xf numFmtId="0" fontId="9" fillId="0" borderId="2" xfId="0" applyFont="1" applyFill="1" applyBorder="1" applyAlignment="1"/>
    <xf numFmtId="0" fontId="10" fillId="0" borderId="2" xfId="0" applyFont="1" applyFill="1" applyBorder="1" applyAlignment="1">
      <alignment vertical="top" wrapText="1"/>
    </xf>
    <xf numFmtId="0" fontId="9" fillId="4" borderId="2" xfId="0" applyFont="1" applyFill="1" applyBorder="1" applyAlignment="1">
      <alignment vertical="top" wrapText="1"/>
    </xf>
    <xf numFmtId="165" fontId="9" fillId="0" borderId="2" xfId="0" applyNumberFormat="1" applyFont="1" applyFill="1" applyBorder="1" applyAlignment="1">
      <alignment horizontal="right"/>
    </xf>
    <xf numFmtId="165" fontId="9" fillId="4" borderId="2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/>
    </xf>
    <xf numFmtId="0" fontId="12" fillId="0" borderId="0" xfId="0" applyFont="1" applyAlignment="1"/>
    <xf numFmtId="0" fontId="7" fillId="4" borderId="2" xfId="0" applyFont="1" applyFill="1" applyBorder="1" applyAlignment="1">
      <alignment vertical="top"/>
    </xf>
    <xf numFmtId="0" fontId="13" fillId="0" borderId="2" xfId="0" applyFont="1" applyFill="1" applyBorder="1" applyAlignment="1"/>
    <xf numFmtId="0" fontId="14" fillId="0" borderId="2" xfId="0" applyFont="1" applyFill="1" applyBorder="1" applyAlignment="1">
      <alignment vertical="top" wrapText="1"/>
    </xf>
    <xf numFmtId="0" fontId="15" fillId="4" borderId="2" xfId="0" applyFont="1" applyFill="1" applyBorder="1" applyAlignment="1">
      <alignment vertical="top"/>
    </xf>
    <xf numFmtId="165" fontId="16" fillId="4" borderId="2" xfId="0" applyNumberFormat="1" applyFont="1" applyFill="1" applyBorder="1" applyAlignment="1">
      <alignment horizontal="right"/>
    </xf>
    <xf numFmtId="165" fontId="13" fillId="0" borderId="2" xfId="0" applyNumberFormat="1" applyFont="1" applyFill="1" applyBorder="1" applyAlignment="1">
      <alignment horizontal="right"/>
    </xf>
    <xf numFmtId="165" fontId="17" fillId="4" borderId="2" xfId="0" applyNumberFormat="1" applyFont="1" applyFill="1" applyBorder="1" applyAlignment="1">
      <alignment horizontal="right"/>
    </xf>
    <xf numFmtId="165" fontId="13" fillId="4" borderId="2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3" fontId="5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8" fillId="0" borderId="0" xfId="0" applyFont="1" applyAlignment="1"/>
    <xf numFmtId="2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164" fontId="10" fillId="0" borderId="0" xfId="0" applyNumberFormat="1" applyFont="1" applyFill="1" applyBorder="1" applyAlignment="1">
      <alignment horizontal="right"/>
    </xf>
    <xf numFmtId="0" fontId="3" fillId="5" borderId="0" xfId="0" applyFont="1" applyFill="1" applyAlignment="1"/>
    <xf numFmtId="0" fontId="2" fillId="0" borderId="0" xfId="0" applyFont="1"/>
    <xf numFmtId="165" fontId="2" fillId="0" borderId="0" xfId="0" applyNumberFormat="1" applyFont="1"/>
    <xf numFmtId="166" fontId="1" fillId="0" borderId="0" xfId="0" applyNumberFormat="1" applyFont="1"/>
    <xf numFmtId="167" fontId="0" fillId="0" borderId="0" xfId="0" applyNumberFormat="1"/>
    <xf numFmtId="167" fontId="2" fillId="0" borderId="0" xfId="0" applyNumberFormat="1" applyFont="1"/>
    <xf numFmtId="9" fontId="2" fillId="0" borderId="0" xfId="0" applyNumberFormat="1" applyFont="1" applyAlignment="1">
      <alignment horizontal="right"/>
    </xf>
    <xf numFmtId="0" fontId="0" fillId="6" borderId="0" xfId="0" applyFill="1"/>
    <xf numFmtId="0" fontId="0" fillId="4" borderId="0" xfId="0" applyFill="1"/>
    <xf numFmtId="9" fontId="1" fillId="0" borderId="0" xfId="0" applyNumberFormat="1" applyFont="1" applyAlignment="1">
      <alignment horizontal="right"/>
    </xf>
    <xf numFmtId="0" fontId="0" fillId="4" borderId="0" xfId="0" applyFill="1" applyAlignment="1">
      <alignment horizontal="center"/>
    </xf>
    <xf numFmtId="167" fontId="2" fillId="0" borderId="3" xfId="0" applyNumberFormat="1" applyFont="1" applyBorder="1"/>
    <xf numFmtId="168" fontId="2" fillId="0" borderId="0" xfId="0" applyNumberFormat="1" applyFont="1"/>
    <xf numFmtId="10" fontId="2" fillId="0" borderId="0" xfId="0" applyNumberFormat="1" applyFont="1"/>
    <xf numFmtId="168" fontId="1" fillId="0" borderId="0" xfId="0" applyNumberFormat="1" applyFont="1"/>
    <xf numFmtId="10" fontId="1" fillId="0" borderId="0" xfId="0" applyNumberFormat="1" applyFont="1"/>
    <xf numFmtId="0" fontId="0" fillId="4" borderId="0" xfId="0" applyFill="1" applyAlignment="1">
      <alignment horizontal="right"/>
    </xf>
    <xf numFmtId="167" fontId="2" fillId="4" borderId="0" xfId="0" applyNumberFormat="1" applyFont="1" applyFill="1"/>
    <xf numFmtId="3" fontId="2" fillId="4" borderId="0" xfId="0" applyNumberFormat="1" applyFont="1" applyFill="1"/>
    <xf numFmtId="168" fontId="2" fillId="4" borderId="0" xfId="0" applyNumberFormat="1" applyFont="1" applyFill="1"/>
    <xf numFmtId="10" fontId="2" fillId="4" borderId="0" xfId="0" applyNumberFormat="1" applyFont="1" applyFill="1"/>
    <xf numFmtId="167" fontId="0" fillId="4" borderId="0" xfId="0" applyNumberFormat="1" applyFill="1"/>
    <xf numFmtId="10" fontId="2" fillId="0" borderId="0" xfId="0" applyNumberFormat="1" applyFont="1" applyAlignment="1">
      <alignment horizontal="left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164" fontId="19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8" borderId="0" xfId="0" applyFill="1"/>
    <xf numFmtId="0" fontId="0" fillId="9" borderId="0" xfId="0" applyFill="1"/>
    <xf numFmtId="169" fontId="1" fillId="9" borderId="0" xfId="0" applyNumberFormat="1" applyFont="1" applyFill="1"/>
    <xf numFmtId="169" fontId="2" fillId="9" borderId="0" xfId="0" applyNumberFormat="1" applyFont="1" applyFill="1"/>
    <xf numFmtId="9" fontId="20" fillId="7" borderId="0" xfId="0" applyNumberFormat="1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0000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numRef>
              <c:f>'2_IRR_BMR_SZÁMÍTÁS'!$D$13:$M$13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'2_IRR_BMR_SZÁMÍTÁS'!$D$28:$M$28</c:f>
              <c:numCache>
                <c:formatCode>[$€-2]\ #,##0</c:formatCode>
                <c:ptCount val="10"/>
                <c:pt idx="0">
                  <c:v>-736218.48387096776</c:v>
                </c:pt>
                <c:pt idx="1">
                  <c:v>25990.5</c:v>
                </c:pt>
                <c:pt idx="2">
                  <c:v>26805.663750000007</c:v>
                </c:pt>
                <c:pt idx="3">
                  <c:v>27646.257253125004</c:v>
                </c:pt>
                <c:pt idx="4">
                  <c:v>28513.070210085942</c:v>
                </c:pt>
                <c:pt idx="5">
                  <c:v>29406.916749838303</c:v>
                </c:pt>
                <c:pt idx="6">
                  <c:v>30328.636182703107</c:v>
                </c:pt>
                <c:pt idx="7">
                  <c:v>31279.093776639013</c:v>
                </c:pt>
                <c:pt idx="8">
                  <c:v>32259.181557375512</c:v>
                </c:pt>
                <c:pt idx="9">
                  <c:v>757633.30396618601</c:v>
                </c:pt>
              </c:numCache>
            </c:numRef>
          </c:val>
        </c:ser>
        <c:axId val="88289280"/>
        <c:axId val="88290816"/>
      </c:barChart>
      <c:barChart>
        <c:barDir val="col"/>
        <c:grouping val="clustered"/>
        <c:ser>
          <c:idx val="1"/>
          <c:order val="1"/>
          <c:tx>
            <c:v>Vétel-Eladás</c:v>
          </c:tx>
          <c:val>
            <c:numRef>
              <c:f>'2_IRR_BMR_SZÁMÍTÁS'!$D$29:$M$29</c:f>
              <c:numCache>
                <c:formatCode>[$€-2]\ #,##0</c:formatCode>
                <c:ptCount val="10"/>
                <c:pt idx="0">
                  <c:v>-761418.48387096776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724363.48483304738</c:v>
                </c:pt>
              </c:numCache>
            </c:numRef>
          </c:val>
        </c:ser>
        <c:axId val="88303488"/>
        <c:axId val="88301568"/>
      </c:barChart>
      <c:catAx>
        <c:axId val="88289280"/>
        <c:scaling>
          <c:orientation val="minMax"/>
        </c:scaling>
        <c:axPos val="b"/>
        <c:numFmt formatCode="General" sourceLinked="1"/>
        <c:tickLblPos val="nextTo"/>
        <c:crossAx val="88290816"/>
        <c:crosses val="autoZero"/>
        <c:auto val="1"/>
        <c:lblAlgn val="ctr"/>
        <c:lblOffset val="100"/>
      </c:catAx>
      <c:valAx>
        <c:axId val="88290816"/>
        <c:scaling>
          <c:orientation val="minMax"/>
        </c:scaling>
        <c:axPos val="l"/>
        <c:majorGridlines/>
        <c:numFmt formatCode="[$€-2]\ #,##0" sourceLinked="1"/>
        <c:tickLblPos val="nextTo"/>
        <c:crossAx val="88289280"/>
        <c:crosses val="autoZero"/>
        <c:crossBetween val="between"/>
      </c:valAx>
      <c:valAx>
        <c:axId val="88301568"/>
        <c:scaling>
          <c:orientation val="minMax"/>
        </c:scaling>
        <c:axPos val="r"/>
        <c:numFmt formatCode="[$€-2]\ #,##0" sourceLinked="1"/>
        <c:tickLblPos val="nextTo"/>
        <c:crossAx val="88303488"/>
        <c:crosses val="max"/>
        <c:crossBetween val="between"/>
      </c:valAx>
      <c:catAx>
        <c:axId val="88303488"/>
        <c:scaling>
          <c:orientation val="minMax"/>
        </c:scaling>
        <c:delete val="1"/>
        <c:axPos val="b"/>
        <c:tickLblPos val="none"/>
        <c:crossAx val="88301568"/>
        <c:crosses val="autoZero"/>
        <c:auto val="1"/>
        <c:lblAlgn val="ctr"/>
        <c:lblOffset val="100"/>
      </c:cat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154781</xdr:colOff>
      <xdr:row>29</xdr:row>
      <xdr:rowOff>158750</xdr:rowOff>
    </xdr:from>
    <xdr:to>
      <xdr:col>13</xdr:col>
      <xdr:colOff>654843</xdr:colOff>
      <xdr:row>45</xdr:row>
      <xdr:rowOff>15875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46"/>
  <sheetViews>
    <sheetView topLeftCell="A10" workbookViewId="0">
      <selection activeCell="D24" sqref="D24"/>
    </sheetView>
  </sheetViews>
  <sheetFormatPr defaultRowHeight="15"/>
  <cols>
    <col min="1" max="2" width="4" customWidth="1"/>
    <col min="3" max="3" width="5.85546875" customWidth="1"/>
    <col min="4" max="4" width="35.85546875" style="1" customWidth="1"/>
    <col min="5" max="5" width="15.7109375" customWidth="1"/>
    <col min="6" max="6" width="16.7109375" customWidth="1"/>
    <col min="7" max="7" width="12.5703125" customWidth="1"/>
    <col min="8" max="8" width="12.28515625" customWidth="1"/>
  </cols>
  <sheetData>
    <row r="1" spans="4:6">
      <c r="D1" s="1" t="s">
        <v>58</v>
      </c>
      <c r="E1" s="53">
        <v>310</v>
      </c>
    </row>
    <row r="2" spans="4:6">
      <c r="D2" s="1" t="s">
        <v>0</v>
      </c>
      <c r="E2" s="3">
        <v>15000</v>
      </c>
      <c r="F2" t="s">
        <v>72</v>
      </c>
    </row>
    <row r="3" spans="4:6">
      <c r="D3" s="1" t="s">
        <v>1</v>
      </c>
      <c r="E3" s="3">
        <v>8000</v>
      </c>
      <c r="F3" t="s">
        <v>73</v>
      </c>
    </row>
    <row r="4" spans="4:6">
      <c r="D4" s="1" t="s">
        <v>2</v>
      </c>
      <c r="E4" s="5">
        <f>E3/E2</f>
        <v>0.53333333333333333</v>
      </c>
    </row>
    <row r="5" spans="4:6">
      <c r="D5" s="1" t="s">
        <v>3</v>
      </c>
      <c r="E5" s="6">
        <f>E2-E3</f>
        <v>7000</v>
      </c>
      <c r="F5" t="s">
        <v>74</v>
      </c>
    </row>
    <row r="6" spans="4:6">
      <c r="D6" s="1" t="s">
        <v>2</v>
      </c>
      <c r="E6" s="5">
        <f>E5/E2</f>
        <v>0.46666666666666667</v>
      </c>
    </row>
    <row r="7" spans="4:6">
      <c r="D7" s="1" t="s">
        <v>53</v>
      </c>
      <c r="E7" s="3">
        <v>1000</v>
      </c>
      <c r="F7" t="s">
        <v>70</v>
      </c>
    </row>
    <row r="8" spans="4:6">
      <c r="D8" s="1" t="s">
        <v>54</v>
      </c>
      <c r="E8" s="2">
        <v>1.1499999999999999</v>
      </c>
    </row>
    <row r="9" spans="4:6">
      <c r="D9" s="1" t="s">
        <v>55</v>
      </c>
      <c r="E9" s="6">
        <f>E7*E8</f>
        <v>1150</v>
      </c>
      <c r="F9" t="s">
        <v>71</v>
      </c>
    </row>
    <row r="10" spans="4:6">
      <c r="D10" s="1" t="s">
        <v>56</v>
      </c>
      <c r="E10" s="51" t="str">
        <f>'3_EKS_2014'!C27</f>
        <v>Szilikát bázisú
raktár (hőszigetelt)</v>
      </c>
    </row>
    <row r="11" spans="4:6">
      <c r="D11" s="1" t="s">
        <v>57</v>
      </c>
      <c r="E11" s="52">
        <f>'3_EKS_2014'!R27</f>
        <v>172100</v>
      </c>
      <c r="F11" t="s">
        <v>69</v>
      </c>
    </row>
    <row r="12" spans="4:6">
      <c r="D12" s="1" t="s">
        <v>59</v>
      </c>
      <c r="E12" s="55">
        <f>E11/$E$1</f>
        <v>555.16129032258061</v>
      </c>
      <c r="F12" t="s">
        <v>69</v>
      </c>
    </row>
    <row r="13" spans="4:6">
      <c r="D13" s="1" t="s">
        <v>61</v>
      </c>
      <c r="E13" s="52">
        <v>12500</v>
      </c>
      <c r="F13" t="s">
        <v>68</v>
      </c>
    </row>
    <row r="14" spans="4:6">
      <c r="D14" s="1" t="s">
        <v>62</v>
      </c>
      <c r="E14" s="55">
        <f>E13/$E$1</f>
        <v>40.322580645161288</v>
      </c>
      <c r="F14" t="s">
        <v>68</v>
      </c>
    </row>
    <row r="15" spans="4:6">
      <c r="D15" s="1" t="s">
        <v>63</v>
      </c>
      <c r="E15" s="52">
        <v>8250</v>
      </c>
      <c r="F15" t="s">
        <v>67</v>
      </c>
    </row>
    <row r="16" spans="4:6">
      <c r="D16" s="1" t="s">
        <v>64</v>
      </c>
      <c r="E16" s="55">
        <f>E15/$E$1</f>
        <v>26.612903225806452</v>
      </c>
      <c r="F16" t="s">
        <v>67</v>
      </c>
    </row>
    <row r="17" spans="3:8">
      <c r="D17" s="1" t="s">
        <v>65</v>
      </c>
      <c r="E17" s="52">
        <v>4500</v>
      </c>
      <c r="F17" t="s">
        <v>60</v>
      </c>
    </row>
    <row r="18" spans="3:8">
      <c r="D18" s="1" t="s">
        <v>66</v>
      </c>
      <c r="E18" s="55">
        <f>E17/$E$1</f>
        <v>14.516129032258064</v>
      </c>
      <c r="F18" t="s">
        <v>68</v>
      </c>
    </row>
    <row r="19" spans="3:8">
      <c r="H19" t="s">
        <v>86</v>
      </c>
    </row>
    <row r="20" spans="3:8">
      <c r="C20">
        <v>1</v>
      </c>
      <c r="D20" s="1">
        <v>2015</v>
      </c>
      <c r="E20" s="65">
        <f>E19/E16</f>
        <v>0</v>
      </c>
      <c r="F20" s="64">
        <v>3.25</v>
      </c>
      <c r="G20" s="65">
        <v>0</v>
      </c>
      <c r="H20" s="65">
        <v>0.75</v>
      </c>
    </row>
    <row r="21" spans="3:8">
      <c r="C21">
        <v>2</v>
      </c>
      <c r="D21" s="1">
        <v>2016</v>
      </c>
      <c r="E21" s="65">
        <v>0.03</v>
      </c>
      <c r="F21" s="62">
        <f>F20*(1+E21)</f>
        <v>3.3475000000000001</v>
      </c>
      <c r="G21" s="65">
        <v>0.02</v>
      </c>
      <c r="H21" s="63">
        <f>H20*(1+G21)</f>
        <v>0.76500000000000001</v>
      </c>
    </row>
    <row r="22" spans="3:8">
      <c r="C22">
        <v>3</v>
      </c>
      <c r="D22" s="1">
        <v>2017</v>
      </c>
      <c r="E22" s="65">
        <v>0.03</v>
      </c>
      <c r="F22" s="62">
        <f t="shared" ref="F22:F30" si="0">F21*(1+E22)</f>
        <v>3.4479250000000001</v>
      </c>
      <c r="G22" s="65">
        <v>0.02</v>
      </c>
      <c r="H22" s="63">
        <f t="shared" ref="H22:H30" si="1">H21*(1+G22)</f>
        <v>0.78029999999999999</v>
      </c>
    </row>
    <row r="23" spans="3:8">
      <c r="C23">
        <v>4</v>
      </c>
      <c r="D23" s="1">
        <v>2018</v>
      </c>
      <c r="E23" s="65">
        <v>0.03</v>
      </c>
      <c r="F23" s="62">
        <f t="shared" si="0"/>
        <v>3.55136275</v>
      </c>
      <c r="G23" s="65">
        <v>0.02</v>
      </c>
      <c r="H23" s="63">
        <f t="shared" si="1"/>
        <v>0.795906</v>
      </c>
    </row>
    <row r="24" spans="3:8">
      <c r="C24">
        <v>5</v>
      </c>
      <c r="D24" s="1">
        <v>2019</v>
      </c>
      <c r="E24" s="65">
        <v>0.03</v>
      </c>
      <c r="F24" s="62">
        <f t="shared" si="0"/>
        <v>3.6579036325000001</v>
      </c>
      <c r="G24" s="65">
        <v>0.02</v>
      </c>
      <c r="H24" s="63">
        <f t="shared" si="1"/>
        <v>0.81182412000000004</v>
      </c>
    </row>
    <row r="25" spans="3:8">
      <c r="C25">
        <v>6</v>
      </c>
      <c r="D25" s="1">
        <v>2020</v>
      </c>
      <c r="E25" s="65">
        <v>0.03</v>
      </c>
      <c r="F25" s="62">
        <f t="shared" si="0"/>
        <v>3.7676407414750002</v>
      </c>
      <c r="G25" s="65">
        <v>0.02</v>
      </c>
      <c r="H25" s="63">
        <f t="shared" si="1"/>
        <v>0.82806060240000001</v>
      </c>
    </row>
    <row r="26" spans="3:8">
      <c r="C26">
        <v>7</v>
      </c>
      <c r="D26" s="1">
        <v>2021</v>
      </c>
      <c r="E26" s="65">
        <v>0.03</v>
      </c>
      <c r="F26" s="62">
        <f t="shared" si="0"/>
        <v>3.8806699637192503</v>
      </c>
      <c r="G26" s="65">
        <v>0.02</v>
      </c>
      <c r="H26" s="63">
        <f t="shared" si="1"/>
        <v>0.844621814448</v>
      </c>
    </row>
    <row r="27" spans="3:8">
      <c r="C27">
        <v>8</v>
      </c>
      <c r="D27" s="1">
        <v>2022</v>
      </c>
      <c r="E27" s="65">
        <v>0.03</v>
      </c>
      <c r="F27" s="62">
        <f t="shared" si="0"/>
        <v>3.9970900626308281</v>
      </c>
      <c r="G27" s="65">
        <v>0.02</v>
      </c>
      <c r="H27" s="63">
        <f t="shared" si="1"/>
        <v>0.86151425073695997</v>
      </c>
    </row>
    <row r="28" spans="3:8">
      <c r="C28">
        <v>9</v>
      </c>
      <c r="D28" s="1">
        <v>2023</v>
      </c>
      <c r="E28" s="65">
        <v>0.03</v>
      </c>
      <c r="F28" s="62">
        <f t="shared" si="0"/>
        <v>4.1170027645097527</v>
      </c>
      <c r="G28" s="65">
        <v>0.02</v>
      </c>
      <c r="H28" s="63">
        <f t="shared" si="1"/>
        <v>0.8787445357516992</v>
      </c>
    </row>
    <row r="29" spans="3:8">
      <c r="C29">
        <v>10</v>
      </c>
      <c r="D29" s="1">
        <v>2024</v>
      </c>
      <c r="E29" s="65">
        <v>0.03</v>
      </c>
      <c r="F29" s="62">
        <f t="shared" si="0"/>
        <v>4.2405128474450455</v>
      </c>
      <c r="G29" s="65">
        <v>0.02</v>
      </c>
      <c r="H29" s="63">
        <f t="shared" si="1"/>
        <v>0.89631942646673324</v>
      </c>
    </row>
    <row r="30" spans="3:8">
      <c r="C30">
        <v>11</v>
      </c>
      <c r="D30" s="1">
        <v>2025</v>
      </c>
      <c r="E30" s="65">
        <v>0.03</v>
      </c>
      <c r="F30" s="62">
        <f t="shared" si="0"/>
        <v>4.3677282328683971</v>
      </c>
      <c r="G30" s="65">
        <v>0.02</v>
      </c>
      <c r="H30" s="63">
        <f t="shared" si="1"/>
        <v>0.91424581499606794</v>
      </c>
    </row>
    <row r="32" spans="3:8">
      <c r="C32">
        <v>1</v>
      </c>
      <c r="D32" s="1">
        <v>2015</v>
      </c>
      <c r="E32" s="65">
        <f>E31/E28</f>
        <v>0</v>
      </c>
      <c r="F32" s="64">
        <v>1.1499999999999999</v>
      </c>
    </row>
    <row r="33" spans="3:6">
      <c r="C33">
        <v>2</v>
      </c>
      <c r="D33" s="1">
        <v>2016</v>
      </c>
      <c r="E33" s="65">
        <v>2.75E-2</v>
      </c>
      <c r="F33" s="62">
        <f>F32*(1+E33)</f>
        <v>1.1816249999999999</v>
      </c>
    </row>
    <row r="34" spans="3:6">
      <c r="C34">
        <v>3</v>
      </c>
      <c r="D34" s="1">
        <v>2017</v>
      </c>
      <c r="E34" s="65">
        <v>2.75E-2</v>
      </c>
      <c r="F34" s="62">
        <f t="shared" ref="F34:F42" si="2">F33*(1+E34)</f>
        <v>1.2141196875</v>
      </c>
    </row>
    <row r="35" spans="3:6">
      <c r="C35">
        <v>4</v>
      </c>
      <c r="D35" s="1">
        <v>2018</v>
      </c>
      <c r="E35" s="65">
        <v>2.75E-2</v>
      </c>
      <c r="F35" s="62">
        <f t="shared" si="2"/>
        <v>1.24750797890625</v>
      </c>
    </row>
    <row r="36" spans="3:6">
      <c r="C36">
        <v>5</v>
      </c>
      <c r="D36" s="1">
        <v>2019</v>
      </c>
      <c r="E36" s="65">
        <v>2.75E-2</v>
      </c>
      <c r="F36" s="62">
        <f t="shared" si="2"/>
        <v>1.281814448326172</v>
      </c>
    </row>
    <row r="37" spans="3:6">
      <c r="C37">
        <v>6</v>
      </c>
      <c r="D37" s="1">
        <v>2020</v>
      </c>
      <c r="E37" s="65">
        <v>2.75E-2</v>
      </c>
      <c r="F37" s="62">
        <f t="shared" si="2"/>
        <v>1.3170643456551419</v>
      </c>
    </row>
    <row r="38" spans="3:6">
      <c r="C38">
        <v>7</v>
      </c>
      <c r="D38" s="1">
        <v>2021</v>
      </c>
      <c r="E38" s="65">
        <v>2.75E-2</v>
      </c>
      <c r="F38" s="62">
        <f t="shared" si="2"/>
        <v>1.3532836151606584</v>
      </c>
    </row>
    <row r="39" spans="3:6">
      <c r="C39">
        <v>8</v>
      </c>
      <c r="D39" s="1">
        <v>2022</v>
      </c>
      <c r="E39" s="65">
        <v>2.75E-2</v>
      </c>
      <c r="F39" s="62">
        <f t="shared" si="2"/>
        <v>1.3904989145775766</v>
      </c>
    </row>
    <row r="40" spans="3:6">
      <c r="C40">
        <v>9</v>
      </c>
      <c r="D40" s="1">
        <v>2023</v>
      </c>
      <c r="E40" s="65">
        <v>2.75E-2</v>
      </c>
      <c r="F40" s="62">
        <f t="shared" si="2"/>
        <v>1.4287376347284599</v>
      </c>
    </row>
    <row r="41" spans="3:6">
      <c r="C41">
        <v>10</v>
      </c>
      <c r="D41" s="1">
        <v>2024</v>
      </c>
      <c r="E41" s="65">
        <v>2.75E-2</v>
      </c>
      <c r="F41" s="62">
        <f t="shared" si="2"/>
        <v>1.4680279196834927</v>
      </c>
    </row>
    <row r="42" spans="3:6">
      <c r="C42">
        <v>11</v>
      </c>
      <c r="D42" s="1">
        <v>2025</v>
      </c>
      <c r="E42" s="65">
        <v>2.75E-2</v>
      </c>
      <c r="F42" s="62">
        <f t="shared" si="2"/>
        <v>1.5083986874747888</v>
      </c>
    </row>
    <row r="44" spans="3:6">
      <c r="D44" s="1" t="s">
        <v>88</v>
      </c>
      <c r="E44" s="65">
        <v>4.4999999999999998E-2</v>
      </c>
    </row>
    <row r="45" spans="3:6">
      <c r="D45" s="1" t="s">
        <v>87</v>
      </c>
      <c r="E45" s="65">
        <v>2.5000000000000001E-2</v>
      </c>
    </row>
    <row r="46" spans="3:6">
      <c r="D46" s="1" t="s">
        <v>99</v>
      </c>
      <c r="E46" s="65">
        <v>0.05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&amp;L&amp;F/&amp;A&amp;R&amp;P/&amp;N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W44"/>
  <sheetViews>
    <sheetView tabSelected="1" view="pageBreakPreview" zoomScale="60" zoomScaleNormal="80" workbookViewId="0">
      <selection activeCell="V40" sqref="V40"/>
    </sheetView>
  </sheetViews>
  <sheetFormatPr defaultRowHeight="15"/>
  <cols>
    <col min="1" max="1" width="2" customWidth="1"/>
    <col min="2" max="2" width="4.28515625" customWidth="1"/>
    <col min="3" max="3" width="35" customWidth="1"/>
    <col min="4" max="4" width="13.28515625" customWidth="1"/>
    <col min="5" max="5" width="11.140625" customWidth="1"/>
    <col min="6" max="6" width="8.140625" customWidth="1"/>
    <col min="7" max="13" width="11.140625" customWidth="1"/>
    <col min="14" max="14" width="10.140625" customWidth="1"/>
    <col min="15" max="15" width="3.28515625" customWidth="1"/>
    <col min="16" max="17" width="10.140625" customWidth="1"/>
  </cols>
  <sheetData>
    <row r="1" spans="2:23">
      <c r="D1" s="73" t="s">
        <v>80</v>
      </c>
      <c r="E1" s="73"/>
      <c r="F1" s="74" t="s">
        <v>81</v>
      </c>
      <c r="G1" s="74"/>
      <c r="H1" s="74" t="s">
        <v>82</v>
      </c>
      <c r="I1" s="74"/>
      <c r="J1" s="74" t="s">
        <v>83</v>
      </c>
      <c r="K1" s="74"/>
      <c r="L1" s="74" t="s">
        <v>84</v>
      </c>
      <c r="M1" s="74"/>
    </row>
    <row r="2" spans="2:23">
      <c r="D2" s="57"/>
      <c r="E2" s="57"/>
      <c r="F2" s="58"/>
      <c r="G2" s="58"/>
      <c r="H2" s="58"/>
      <c r="I2" s="58"/>
      <c r="J2" s="58"/>
      <c r="K2" s="58"/>
      <c r="L2" s="58"/>
      <c r="M2" s="58"/>
    </row>
    <row r="3" spans="2:23">
      <c r="B3">
        <v>1</v>
      </c>
      <c r="C3" s="1" t="s">
        <v>75</v>
      </c>
      <c r="D3" s="56">
        <f>E3/$E$7</f>
        <v>0.255320235405257</v>
      </c>
      <c r="E3" s="55">
        <f>'1_ALAPADATOK'!E14*'1_ALAPADATOK'!E3</f>
        <v>322580.6451612903</v>
      </c>
      <c r="F3" s="59">
        <v>0</v>
      </c>
      <c r="G3" s="55">
        <f>E3*F3</f>
        <v>0</v>
      </c>
      <c r="H3" s="59">
        <v>0</v>
      </c>
      <c r="I3" s="55">
        <f>E3*H3</f>
        <v>0</v>
      </c>
      <c r="J3" s="59">
        <v>0</v>
      </c>
      <c r="K3" s="55">
        <f>E3*J3</f>
        <v>0</v>
      </c>
      <c r="L3" s="5">
        <f>M3/E3</f>
        <v>1</v>
      </c>
      <c r="M3" s="55">
        <f>E3+G3+I3+K3</f>
        <v>322580.6451612903</v>
      </c>
    </row>
    <row r="4" spans="2:23">
      <c r="B4">
        <v>2</v>
      </c>
      <c r="C4" s="1" t="s">
        <v>79</v>
      </c>
      <c r="D4" s="56">
        <f t="shared" ref="D4:D7" si="0">E4/$E$7</f>
        <v>0.14744743594653592</v>
      </c>
      <c r="E4" s="55">
        <f>'1_ALAPADATOK'!E16*'1_ALAPADATOK'!E5</f>
        <v>186290.32258064515</v>
      </c>
      <c r="F4" s="59">
        <v>0</v>
      </c>
      <c r="G4" s="55">
        <f t="shared" ref="G4:G6" si="1">E4*F4</f>
        <v>0</v>
      </c>
      <c r="H4" s="59">
        <v>0</v>
      </c>
      <c r="I4" s="55">
        <f>E4*H4</f>
        <v>0</v>
      </c>
      <c r="J4" s="59">
        <v>0</v>
      </c>
      <c r="K4" s="55">
        <f>E4*J4</f>
        <v>0</v>
      </c>
      <c r="L4" s="5">
        <f t="shared" ref="L4:L7" si="2">M4/E4</f>
        <v>1</v>
      </c>
      <c r="M4" s="55">
        <f t="shared" ref="M4:M7" si="3">E4+G4+I4+K4</f>
        <v>186290.32258064515</v>
      </c>
      <c r="O4" s="55"/>
      <c r="P4" s="55"/>
      <c r="Q4" s="55"/>
    </row>
    <row r="5" spans="2:23">
      <c r="B5">
        <v>3</v>
      </c>
      <c r="C5" s="1" t="s">
        <v>76</v>
      </c>
      <c r="D5" s="56">
        <f t="shared" si="0"/>
        <v>9.1915284745892528E-2</v>
      </c>
      <c r="E5" s="55">
        <f>'1_ALAPADATOK'!E18*'1_ALAPADATOK'!E3</f>
        <v>116129.03225806452</v>
      </c>
      <c r="F5" s="59">
        <v>-0.2</v>
      </c>
      <c r="G5" s="55">
        <f t="shared" si="1"/>
        <v>-23225.806451612905</v>
      </c>
      <c r="H5" s="59">
        <v>-0.05</v>
      </c>
      <c r="I5" s="55">
        <f>E5*H5</f>
        <v>-5806.4516129032263</v>
      </c>
      <c r="J5" s="59">
        <v>-0.25</v>
      </c>
      <c r="K5" s="55">
        <f>E5*J5</f>
        <v>-29032.258064516129</v>
      </c>
      <c r="L5" s="5">
        <f t="shared" si="2"/>
        <v>0.49999999999999994</v>
      </c>
      <c r="M5" s="55">
        <f t="shared" si="3"/>
        <v>58064.51612903225</v>
      </c>
      <c r="O5" s="55"/>
      <c r="P5" s="55"/>
      <c r="Q5" s="55"/>
    </row>
    <row r="6" spans="2:23" ht="15.75" thickBot="1">
      <c r="B6">
        <v>4</v>
      </c>
      <c r="C6" s="1" t="s">
        <v>77</v>
      </c>
      <c r="D6" s="56">
        <f t="shared" si="0"/>
        <v>0.50531704390231447</v>
      </c>
      <c r="E6" s="55">
        <f>'1_ALAPADATOK'!E12*'1_ALAPADATOK'!E9</f>
        <v>638435.48387096776</v>
      </c>
      <c r="F6" s="59">
        <v>-0.3</v>
      </c>
      <c r="G6" s="55">
        <f t="shared" si="1"/>
        <v>-191530.64516129033</v>
      </c>
      <c r="H6" s="59">
        <v>-0.2</v>
      </c>
      <c r="I6" s="55">
        <f>E6*H6</f>
        <v>-127687.09677419356</v>
      </c>
      <c r="J6" s="59">
        <v>-0.25</v>
      </c>
      <c r="K6" s="55">
        <f>E6*J6</f>
        <v>-159608.87096774194</v>
      </c>
      <c r="L6" s="5">
        <f t="shared" si="2"/>
        <v>0.25</v>
      </c>
      <c r="M6" s="55">
        <f t="shared" si="3"/>
        <v>159608.87096774194</v>
      </c>
      <c r="O6" s="55"/>
      <c r="P6" s="55"/>
      <c r="Q6" s="55"/>
    </row>
    <row r="7" spans="2:23" ht="15.75" thickBot="1">
      <c r="B7">
        <v>5</v>
      </c>
      <c r="C7" s="1" t="s">
        <v>78</v>
      </c>
      <c r="D7" s="56">
        <f t="shared" si="0"/>
        <v>1</v>
      </c>
      <c r="E7" s="55">
        <f>SUM(E3:E6)</f>
        <v>1263435.4838709678</v>
      </c>
      <c r="F7" s="58"/>
      <c r="G7" s="55">
        <f>SUM(G3:G6)</f>
        <v>-214756.45161290324</v>
      </c>
      <c r="H7" s="58"/>
      <c r="I7" s="55">
        <f>SUM(I3:I6)</f>
        <v>-133493.54838709679</v>
      </c>
      <c r="J7" s="58"/>
      <c r="K7" s="55">
        <f>SUM(K3:K6)</f>
        <v>-188641.12903225806</v>
      </c>
      <c r="L7" s="5">
        <f t="shared" si="2"/>
        <v>0.57505457470031784</v>
      </c>
      <c r="M7" s="61">
        <f t="shared" si="3"/>
        <v>726544.3548387097</v>
      </c>
      <c r="O7" s="55"/>
      <c r="P7" s="55"/>
      <c r="Q7" s="55"/>
    </row>
    <row r="8" spans="2:23" ht="15.75" thickBot="1">
      <c r="B8" s="58"/>
      <c r="C8" s="58" t="s">
        <v>85</v>
      </c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2:23" ht="15.75" thickBot="1">
      <c r="E9" s="55">
        <f>M7</f>
        <v>726544.3548387097</v>
      </c>
      <c r="F9" s="59">
        <f>N10+N11</f>
        <v>4.8000000000000043E-2</v>
      </c>
      <c r="G9" s="54">
        <f>E9*F9</f>
        <v>34874.129032258097</v>
      </c>
      <c r="M9" s="61">
        <f>E9+G9</f>
        <v>761418.48387096776</v>
      </c>
    </row>
    <row r="10" spans="2:23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9">
        <v>-0.5</v>
      </c>
    </row>
    <row r="11" spans="2:23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80">
        <f>N12/1000</f>
        <v>0.54800000000000004</v>
      </c>
      <c r="W11" s="77"/>
    </row>
    <row r="12" spans="2:23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>
        <v>548</v>
      </c>
    </row>
    <row r="13" spans="2:23">
      <c r="B13" s="58"/>
      <c r="C13" s="58" t="s">
        <v>89</v>
      </c>
      <c r="D13" s="60">
        <v>2015</v>
      </c>
      <c r="E13" s="60">
        <v>2016</v>
      </c>
      <c r="F13" s="60">
        <v>2017</v>
      </c>
      <c r="G13" s="60">
        <v>2018</v>
      </c>
      <c r="H13" s="60">
        <v>2019</v>
      </c>
      <c r="I13" s="60">
        <v>2020</v>
      </c>
      <c r="J13" s="60">
        <v>2021</v>
      </c>
      <c r="K13" s="60">
        <v>2022</v>
      </c>
      <c r="L13" s="60">
        <v>2023</v>
      </c>
      <c r="M13" s="60">
        <v>2024</v>
      </c>
      <c r="N13" s="60">
        <v>2025</v>
      </c>
    </row>
    <row r="14" spans="2:23">
      <c r="B14" s="58">
        <v>1</v>
      </c>
      <c r="C14" s="66" t="s">
        <v>90</v>
      </c>
      <c r="D14" s="67">
        <f>M9*-1</f>
        <v>-761418.48387096776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2:23" hidden="1">
      <c r="B15" s="58"/>
      <c r="C15" s="66" t="s">
        <v>94</v>
      </c>
      <c r="D15" s="68">
        <f>'1_ALAPADATOK'!E7</f>
        <v>1000</v>
      </c>
      <c r="E15" s="68">
        <f>D15</f>
        <v>1000</v>
      </c>
      <c r="F15" s="68">
        <f t="shared" ref="F15:N15" si="4">E15</f>
        <v>1000</v>
      </c>
      <c r="G15" s="68">
        <f t="shared" si="4"/>
        <v>1000</v>
      </c>
      <c r="H15" s="68">
        <f t="shared" si="4"/>
        <v>1000</v>
      </c>
      <c r="I15" s="68">
        <f t="shared" si="4"/>
        <v>1000</v>
      </c>
      <c r="J15" s="68">
        <f t="shared" si="4"/>
        <v>1000</v>
      </c>
      <c r="K15" s="68">
        <f>J15</f>
        <v>1000</v>
      </c>
      <c r="L15" s="68">
        <f>K15</f>
        <v>1000</v>
      </c>
      <c r="M15" s="68">
        <f t="shared" si="4"/>
        <v>1000</v>
      </c>
      <c r="N15" s="68">
        <f t="shared" si="4"/>
        <v>1000</v>
      </c>
    </row>
    <row r="16" spans="2:23">
      <c r="B16" s="58"/>
      <c r="C16" s="66" t="s">
        <v>95</v>
      </c>
      <c r="D16" s="69">
        <f>'1_ALAPADATOK'!$F20</f>
        <v>3.25</v>
      </c>
      <c r="E16" s="69">
        <f>'1_ALAPADATOK'!$F21</f>
        <v>3.3475000000000001</v>
      </c>
      <c r="F16" s="69">
        <f>'1_ALAPADATOK'!$F22</f>
        <v>3.4479250000000001</v>
      </c>
      <c r="G16" s="69">
        <f>'1_ALAPADATOK'!$F23</f>
        <v>3.55136275</v>
      </c>
      <c r="H16" s="69">
        <f>'1_ALAPADATOK'!$F24</f>
        <v>3.6579036325000001</v>
      </c>
      <c r="I16" s="69">
        <f>'1_ALAPADATOK'!$F25</f>
        <v>3.7676407414750002</v>
      </c>
      <c r="J16" s="69">
        <f>'1_ALAPADATOK'!$F26</f>
        <v>3.8806699637192503</v>
      </c>
      <c r="K16" s="69">
        <f>'1_ALAPADATOK'!$F27</f>
        <v>3.9970900626308281</v>
      </c>
      <c r="L16" s="69">
        <f>'1_ALAPADATOK'!$F28</f>
        <v>4.1170027645097527</v>
      </c>
      <c r="M16" s="69">
        <f>'1_ALAPADATOK'!$F29</f>
        <v>4.2405128474450455</v>
      </c>
      <c r="N16" s="69">
        <f>'1_ALAPADATOK'!$F30</f>
        <v>4.3677282328683971</v>
      </c>
    </row>
    <row r="17" spans="2:14" hidden="1">
      <c r="B17" s="58"/>
      <c r="C17" s="66" t="s">
        <v>91</v>
      </c>
      <c r="D17" s="67">
        <f>D16*D15*12</f>
        <v>39000</v>
      </c>
      <c r="E17" s="67">
        <f t="shared" ref="E17:N17" si="5">E16*E15*12</f>
        <v>40170</v>
      </c>
      <c r="F17" s="67">
        <f t="shared" si="5"/>
        <v>41375.100000000006</v>
      </c>
      <c r="G17" s="67">
        <f t="shared" si="5"/>
        <v>42616.353000000003</v>
      </c>
      <c r="H17" s="67">
        <f t="shared" si="5"/>
        <v>43894.843590000004</v>
      </c>
      <c r="I17" s="67">
        <f t="shared" si="5"/>
        <v>45211.688897700005</v>
      </c>
      <c r="J17" s="67">
        <f t="shared" si="5"/>
        <v>46568.039564631006</v>
      </c>
      <c r="K17" s="67">
        <f t="shared" si="5"/>
        <v>47965.080751569934</v>
      </c>
      <c r="L17" s="67">
        <f t="shared" si="5"/>
        <v>49404.03317411703</v>
      </c>
      <c r="M17" s="67">
        <f t="shared" si="5"/>
        <v>50886.154169340545</v>
      </c>
      <c r="N17" s="67">
        <f t="shared" si="5"/>
        <v>52412.738794420758</v>
      </c>
    </row>
    <row r="18" spans="2:14">
      <c r="B18" s="58"/>
      <c r="C18" s="66" t="s">
        <v>96</v>
      </c>
      <c r="D18" s="70">
        <f>'1_ALAPADATOK'!$H20</f>
        <v>0.75</v>
      </c>
      <c r="E18" s="70">
        <f>'1_ALAPADATOK'!$H21</f>
        <v>0.76500000000000001</v>
      </c>
      <c r="F18" s="70">
        <f>'1_ALAPADATOK'!$H22</f>
        <v>0.78029999999999999</v>
      </c>
      <c r="G18" s="70">
        <f>'1_ALAPADATOK'!$H23</f>
        <v>0.795906</v>
      </c>
      <c r="H18" s="70">
        <f>'1_ALAPADATOK'!$H24</f>
        <v>0.81182412000000004</v>
      </c>
      <c r="I18" s="70">
        <f>'1_ALAPADATOK'!$H25</f>
        <v>0.82806060240000001</v>
      </c>
      <c r="J18" s="70">
        <f>'1_ALAPADATOK'!$H26</f>
        <v>0.844621814448</v>
      </c>
      <c r="K18" s="70">
        <f>'1_ALAPADATOK'!$H27</f>
        <v>0.86151425073695997</v>
      </c>
      <c r="L18" s="70">
        <f>'1_ALAPADATOK'!$H28</f>
        <v>0.8787445357516992</v>
      </c>
      <c r="M18" s="70">
        <f>'1_ALAPADATOK'!$H29</f>
        <v>0.89631942646673324</v>
      </c>
      <c r="N18" s="70">
        <f>'1_ALAPADATOK'!$H30</f>
        <v>0.91424581499606794</v>
      </c>
    </row>
    <row r="19" spans="2:14">
      <c r="B19" s="58"/>
      <c r="C19" s="66" t="s">
        <v>92</v>
      </c>
      <c r="D19" s="67">
        <f>D17*D18</f>
        <v>29250</v>
      </c>
      <c r="E19" s="67">
        <f t="shared" ref="E19:N19" si="6">E17*E18</f>
        <v>30730.05</v>
      </c>
      <c r="F19" s="67">
        <f t="shared" si="6"/>
        <v>32284.990530000003</v>
      </c>
      <c r="G19" s="67">
        <f t="shared" si="6"/>
        <v>33918.611050817999</v>
      </c>
      <c r="H19" s="67">
        <f t="shared" si="6"/>
        <v>35634.892769989397</v>
      </c>
      <c r="I19" s="67">
        <f t="shared" si="6"/>
        <v>37438.018344150856</v>
      </c>
      <c r="J19" s="67">
        <f t="shared" si="6"/>
        <v>39332.38207236489</v>
      </c>
      <c r="K19" s="67">
        <f t="shared" si="6"/>
        <v>41322.600605226551</v>
      </c>
      <c r="L19" s="67">
        <f t="shared" si="6"/>
        <v>43413.524195851016</v>
      </c>
      <c r="M19" s="67">
        <f t="shared" si="6"/>
        <v>45610.248520161083</v>
      </c>
      <c r="N19" s="67">
        <f t="shared" si="6"/>
        <v>47918.127095281234</v>
      </c>
    </row>
    <row r="20" spans="2:14">
      <c r="B20" s="58"/>
      <c r="C20" s="66" t="s">
        <v>97</v>
      </c>
      <c r="D20" s="69">
        <f>'1_ALAPADATOK'!$F32</f>
        <v>1.1499999999999999</v>
      </c>
      <c r="E20" s="69">
        <f>'1_ALAPADATOK'!$F33</f>
        <v>1.1816249999999999</v>
      </c>
      <c r="F20" s="69">
        <f>'1_ALAPADATOK'!$F34</f>
        <v>1.2141196875</v>
      </c>
      <c r="G20" s="69">
        <f>'1_ALAPADATOK'!$F35</f>
        <v>1.24750797890625</v>
      </c>
      <c r="H20" s="69">
        <f>'1_ALAPADATOK'!$F36</f>
        <v>1.281814448326172</v>
      </c>
      <c r="I20" s="69">
        <f>'1_ALAPADATOK'!$F37</f>
        <v>1.3170643456551419</v>
      </c>
      <c r="J20" s="69">
        <f>'1_ALAPADATOK'!$F38</f>
        <v>1.3532836151606584</v>
      </c>
      <c r="K20" s="69">
        <f>'1_ALAPADATOK'!$F39</f>
        <v>1.3904989145775766</v>
      </c>
      <c r="L20" s="69">
        <f>'1_ALAPADATOK'!$F40</f>
        <v>1.4287376347284599</v>
      </c>
      <c r="M20" s="69">
        <f>'1_ALAPADATOK'!$F41</f>
        <v>1.4680279196834927</v>
      </c>
      <c r="N20" s="69">
        <f>'1_ALAPADATOK'!$F42</f>
        <v>1.5083986874747888</v>
      </c>
    </row>
    <row r="21" spans="2:14">
      <c r="B21" s="58"/>
      <c r="C21" s="66" t="s">
        <v>98</v>
      </c>
      <c r="D21" s="67">
        <f>D15*D20*12</f>
        <v>13800</v>
      </c>
      <c r="E21" s="67">
        <f t="shared" ref="E21:N21" si="7">E15*E20*12</f>
        <v>14179.5</v>
      </c>
      <c r="F21" s="67">
        <f t="shared" si="7"/>
        <v>14569.436250000001</v>
      </c>
      <c r="G21" s="67">
        <f t="shared" si="7"/>
        <v>14970.095746874998</v>
      </c>
      <c r="H21" s="67">
        <f t="shared" si="7"/>
        <v>15381.773379914062</v>
      </c>
      <c r="I21" s="67">
        <f t="shared" si="7"/>
        <v>15804.772147861702</v>
      </c>
      <c r="J21" s="67">
        <f t="shared" si="7"/>
        <v>16239.403381927901</v>
      </c>
      <c r="K21" s="67">
        <f t="shared" si="7"/>
        <v>16685.986974930922</v>
      </c>
      <c r="L21" s="67">
        <f t="shared" si="7"/>
        <v>17144.851616741518</v>
      </c>
      <c r="M21" s="67">
        <f t="shared" si="7"/>
        <v>17616.335036201912</v>
      </c>
      <c r="N21" s="67">
        <f t="shared" si="7"/>
        <v>18100.784249697466</v>
      </c>
    </row>
    <row r="22" spans="2:14">
      <c r="B22" s="58"/>
      <c r="C22" s="66" t="s">
        <v>93</v>
      </c>
      <c r="D22" s="67">
        <f>D17-D21</f>
        <v>25200</v>
      </c>
      <c r="E22" s="67">
        <f t="shared" ref="E22:N22" si="8">E17-E21</f>
        <v>25990.5</v>
      </c>
      <c r="F22" s="67">
        <f t="shared" si="8"/>
        <v>26805.663750000007</v>
      </c>
      <c r="G22" s="67">
        <f t="shared" si="8"/>
        <v>27646.257253125004</v>
      </c>
      <c r="H22" s="67">
        <f t="shared" si="8"/>
        <v>28513.070210085942</v>
      </c>
      <c r="I22" s="67">
        <f t="shared" si="8"/>
        <v>29406.916749838303</v>
      </c>
      <c r="J22" s="67">
        <f t="shared" si="8"/>
        <v>30328.636182703107</v>
      </c>
      <c r="K22" s="67">
        <f t="shared" si="8"/>
        <v>31279.093776639013</v>
      </c>
      <c r="L22" s="67">
        <f t="shared" si="8"/>
        <v>32259.181557375512</v>
      </c>
      <c r="M22" s="67">
        <f t="shared" si="8"/>
        <v>33269.819133138633</v>
      </c>
      <c r="N22" s="67">
        <f t="shared" si="8"/>
        <v>34311.954544723296</v>
      </c>
    </row>
    <row r="23" spans="2:14" hidden="1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67">
        <f>N22</f>
        <v>34311.954544723296</v>
      </c>
      <c r="N23" s="58"/>
    </row>
    <row r="24" spans="2:14" hidden="1"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70">
        <f>'1_ALAPADATOK'!E44</f>
        <v>4.4999999999999998E-2</v>
      </c>
      <c r="N24" s="58"/>
    </row>
    <row r="25" spans="2:14" hidden="1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67">
        <f>M23/M24</f>
        <v>762487.87877162884</v>
      </c>
      <c r="N25" s="58"/>
    </row>
    <row r="26" spans="2:14" hidden="1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70">
        <f>'1_ALAPADATOK'!E46</f>
        <v>0.05</v>
      </c>
      <c r="N26" s="58"/>
    </row>
    <row r="27" spans="2:14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67">
        <f>M25*(1-M26)</f>
        <v>724363.48483304738</v>
      </c>
      <c r="N27" s="58"/>
    </row>
    <row r="28" spans="2:14">
      <c r="B28" s="58"/>
      <c r="C28" s="70">
        <f>IRR(D28:M28)</f>
        <v>3.8228975866953382E-2</v>
      </c>
      <c r="D28" s="71">
        <f>D22+D14</f>
        <v>-736218.48387096776</v>
      </c>
      <c r="E28" s="71">
        <f t="shared" ref="E28:L28" si="9">E22</f>
        <v>25990.5</v>
      </c>
      <c r="F28" s="71">
        <f t="shared" si="9"/>
        <v>26805.663750000007</v>
      </c>
      <c r="G28" s="71">
        <f t="shared" si="9"/>
        <v>27646.257253125004</v>
      </c>
      <c r="H28" s="71">
        <f t="shared" si="9"/>
        <v>28513.070210085942</v>
      </c>
      <c r="I28" s="71">
        <f t="shared" si="9"/>
        <v>29406.916749838303</v>
      </c>
      <c r="J28" s="71">
        <f t="shared" si="9"/>
        <v>30328.636182703107</v>
      </c>
      <c r="K28" s="71">
        <f t="shared" si="9"/>
        <v>31279.093776639013</v>
      </c>
      <c r="L28" s="71">
        <f t="shared" si="9"/>
        <v>32259.181557375512</v>
      </c>
      <c r="M28" s="71">
        <f>M22+M27</f>
        <v>757633.30396618601</v>
      </c>
      <c r="N28" s="58"/>
    </row>
    <row r="29" spans="2:14">
      <c r="D29" s="54">
        <f>D14</f>
        <v>-761418.48387096776</v>
      </c>
      <c r="E29" s="54">
        <f t="shared" ref="E29:L29" si="10">E14</f>
        <v>0</v>
      </c>
      <c r="F29" s="54">
        <f t="shared" si="10"/>
        <v>0</v>
      </c>
      <c r="G29" s="54">
        <f t="shared" si="10"/>
        <v>0</v>
      </c>
      <c r="H29" s="54">
        <f t="shared" si="10"/>
        <v>0</v>
      </c>
      <c r="I29" s="54">
        <f t="shared" si="10"/>
        <v>0</v>
      </c>
      <c r="J29" s="54">
        <f t="shared" si="10"/>
        <v>0</v>
      </c>
      <c r="K29" s="54">
        <f t="shared" si="10"/>
        <v>0</v>
      </c>
      <c r="L29" s="54">
        <f t="shared" si="10"/>
        <v>0</v>
      </c>
      <c r="M29" s="54">
        <f>M27</f>
        <v>724363.48483304738</v>
      </c>
      <c r="N29" s="54" t="s">
        <v>27</v>
      </c>
    </row>
    <row r="31" spans="2:14">
      <c r="C31" t="s">
        <v>100</v>
      </c>
    </row>
    <row r="32" spans="2:14">
      <c r="B32">
        <v>1</v>
      </c>
      <c r="C32" t="s">
        <v>80</v>
      </c>
    </row>
    <row r="33" spans="2:3">
      <c r="C33" s="55">
        <f>E7</f>
        <v>1263435.4838709678</v>
      </c>
    </row>
    <row r="34" spans="2:3">
      <c r="B34" t="s">
        <v>27</v>
      </c>
      <c r="C34" s="5">
        <f>D7</f>
        <v>1</v>
      </c>
    </row>
    <row r="35" spans="2:3">
      <c r="B35">
        <v>2</v>
      </c>
      <c r="C35" t="s">
        <v>101</v>
      </c>
    </row>
    <row r="36" spans="2:3">
      <c r="C36" s="55">
        <f>M7</f>
        <v>726544.3548387097</v>
      </c>
    </row>
    <row r="37" spans="2:3">
      <c r="C37" s="5">
        <f>C36/$C$33</f>
        <v>0.57505457470031784</v>
      </c>
    </row>
    <row r="38" spans="2:3">
      <c r="B38">
        <v>3</v>
      </c>
      <c r="C38" t="s">
        <v>102</v>
      </c>
    </row>
    <row r="39" spans="2:3">
      <c r="C39" t="s">
        <v>103</v>
      </c>
    </row>
    <row r="40" spans="2:3" ht="23.25">
      <c r="C40" s="81">
        <f>F9</f>
        <v>4.8000000000000043E-2</v>
      </c>
    </row>
    <row r="41" spans="2:3">
      <c r="C41" s="54">
        <f>M9</f>
        <v>761418.48387096776</v>
      </c>
    </row>
    <row r="42" spans="2:3">
      <c r="C42" s="4">
        <f>C41/$C$33</f>
        <v>0.60265719428593312</v>
      </c>
    </row>
    <row r="43" spans="2:3">
      <c r="B43">
        <v>4</v>
      </c>
      <c r="C43" t="s">
        <v>104</v>
      </c>
    </row>
    <row r="44" spans="2:3">
      <c r="C44" s="72">
        <f>C28</f>
        <v>3.8228975866953382E-2</v>
      </c>
    </row>
  </sheetData>
  <mergeCells count="5">
    <mergeCell ref="D1:E1"/>
    <mergeCell ref="F1:G1"/>
    <mergeCell ref="H1:I1"/>
    <mergeCell ref="J1:K1"/>
    <mergeCell ref="L1:M1"/>
  </mergeCells>
  <printOptions headings="1"/>
  <pageMargins left="0.70866141732283472" right="0.44" top="0.59" bottom="0.57999999999999996" header="0.31496062992125984" footer="0.31496062992125984"/>
  <pageSetup paperSize="9" scale="78" orientation="landscape" r:id="rId1"/>
  <headerFooter>
    <oddFooter>&amp;L&amp;F/&amp;A&amp;R&amp;P/&amp;N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R80"/>
  <sheetViews>
    <sheetView view="pageBreakPreview" zoomScale="60" zoomScaleNormal="100" workbookViewId="0">
      <selection activeCell="O2" sqref="O2"/>
    </sheetView>
  </sheetViews>
  <sheetFormatPr defaultRowHeight="12.75"/>
  <cols>
    <col min="1" max="1" width="2.7109375" style="7" customWidth="1"/>
    <col min="2" max="2" width="5.85546875" style="7" customWidth="1"/>
    <col min="3" max="3" width="30.140625" style="7" customWidth="1"/>
    <col min="4" max="4" width="1.5703125" style="7" customWidth="1"/>
    <col min="5" max="5" width="18.140625" style="7" customWidth="1"/>
    <col min="6" max="18" width="15.28515625" style="7" customWidth="1"/>
    <col min="19" max="19" width="2.85546875" style="7" customWidth="1"/>
    <col min="20" max="16384" width="9.140625" style="7"/>
  </cols>
  <sheetData>
    <row r="2" spans="1:18" ht="23.25">
      <c r="B2" s="8" t="s">
        <v>4</v>
      </c>
      <c r="C2" s="9"/>
      <c r="D2" s="9"/>
      <c r="E2" s="9"/>
      <c r="F2" s="10"/>
      <c r="G2" s="11"/>
      <c r="H2" s="12"/>
      <c r="I2" s="12"/>
      <c r="J2" s="12"/>
      <c r="K2" s="12"/>
      <c r="L2" s="13"/>
      <c r="M2" s="13"/>
      <c r="N2" s="13"/>
      <c r="O2" s="13"/>
      <c r="P2" s="13"/>
      <c r="Q2" s="13"/>
      <c r="R2" s="14" t="s">
        <v>5</v>
      </c>
    </row>
    <row r="3" spans="1:18" ht="37.5">
      <c r="B3" s="15" t="s">
        <v>6</v>
      </c>
      <c r="C3" s="15" t="s">
        <v>7</v>
      </c>
      <c r="D3" s="15"/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7" t="s">
        <v>16</v>
      </c>
      <c r="N3" s="17" t="s">
        <v>17</v>
      </c>
      <c r="O3" s="17" t="s">
        <v>18</v>
      </c>
      <c r="P3" s="17" t="s">
        <v>19</v>
      </c>
      <c r="Q3" s="17" t="s">
        <v>20</v>
      </c>
      <c r="R3" s="18" t="s">
        <v>21</v>
      </c>
    </row>
    <row r="4" spans="1:18" ht="18.75">
      <c r="B4" s="15"/>
      <c r="C4" s="15"/>
      <c r="D4" s="19"/>
      <c r="E4" s="16"/>
      <c r="F4" s="16"/>
      <c r="G4" s="16"/>
      <c r="H4" s="16"/>
      <c r="I4" s="16"/>
      <c r="J4" s="16"/>
      <c r="K4" s="16"/>
      <c r="L4" s="17"/>
      <c r="M4" s="17"/>
      <c r="N4" s="17"/>
      <c r="O4" s="17"/>
      <c r="P4" s="17"/>
      <c r="Q4" s="17"/>
      <c r="R4" s="18"/>
    </row>
    <row r="5" spans="1:18" s="27" customFormat="1" ht="31.5">
      <c r="A5" s="20"/>
      <c r="B5" s="21">
        <v>1</v>
      </c>
      <c r="C5" s="22" t="s">
        <v>22</v>
      </c>
      <c r="D5" s="22"/>
      <c r="E5" s="23"/>
      <c r="F5" s="24">
        <v>160000</v>
      </c>
      <c r="G5" s="24">
        <v>22000</v>
      </c>
      <c r="H5" s="24">
        <v>13500</v>
      </c>
      <c r="I5" s="24">
        <v>0</v>
      </c>
      <c r="J5" s="24">
        <v>4500</v>
      </c>
      <c r="K5" s="24">
        <v>7200</v>
      </c>
      <c r="L5" s="24">
        <v>17300</v>
      </c>
      <c r="M5" s="24">
        <v>0</v>
      </c>
      <c r="N5" s="25"/>
      <c r="O5" s="25"/>
      <c r="P5" s="25"/>
      <c r="Q5" s="25"/>
      <c r="R5" s="26">
        <f>SUM(E5:Q5)</f>
        <v>224500</v>
      </c>
    </row>
    <row r="6" spans="1:18" s="20" customFormat="1" ht="31.5">
      <c r="B6" s="21">
        <v>2</v>
      </c>
      <c r="C6" s="22" t="s">
        <v>23</v>
      </c>
      <c r="D6" s="22"/>
      <c r="E6" s="23"/>
      <c r="F6" s="24">
        <v>170000</v>
      </c>
      <c r="G6" s="24">
        <v>26000</v>
      </c>
      <c r="H6" s="24">
        <v>15000</v>
      </c>
      <c r="I6" s="24">
        <v>0</v>
      </c>
      <c r="J6" s="24">
        <v>2000</v>
      </c>
      <c r="K6" s="24">
        <v>8300</v>
      </c>
      <c r="L6" s="24">
        <v>21000</v>
      </c>
      <c r="M6" s="24">
        <v>0</v>
      </c>
      <c r="N6" s="25"/>
      <c r="O6" s="25"/>
      <c r="P6" s="25"/>
      <c r="Q6" s="25"/>
      <c r="R6" s="26">
        <f t="shared" ref="R6:R27" si="0">SUM(E6:Q6)</f>
        <v>242300</v>
      </c>
    </row>
    <row r="7" spans="1:18" s="20" customFormat="1" ht="31.5">
      <c r="B7" s="21">
        <v>3</v>
      </c>
      <c r="C7" s="22" t="s">
        <v>24</v>
      </c>
      <c r="D7" s="22"/>
      <c r="E7" s="23"/>
      <c r="F7" s="24">
        <v>198000</v>
      </c>
      <c r="G7" s="24">
        <v>24000</v>
      </c>
      <c r="H7" s="24">
        <v>17400</v>
      </c>
      <c r="I7" s="24">
        <v>0</v>
      </c>
      <c r="J7" s="24">
        <v>2900</v>
      </c>
      <c r="K7" s="24">
        <v>9100</v>
      </c>
      <c r="L7" s="24">
        <v>19000</v>
      </c>
      <c r="M7" s="24">
        <v>0</v>
      </c>
      <c r="N7" s="25"/>
      <c r="O7" s="25"/>
      <c r="P7" s="25"/>
      <c r="Q7" s="25"/>
      <c r="R7" s="26">
        <f t="shared" si="0"/>
        <v>270400</v>
      </c>
    </row>
    <row r="8" spans="1:18" s="20" customFormat="1" ht="31.5">
      <c r="B8" s="21">
        <v>4</v>
      </c>
      <c r="C8" s="22" t="s">
        <v>25</v>
      </c>
      <c r="D8" s="22"/>
      <c r="E8" s="23"/>
      <c r="F8" s="24">
        <v>181000</v>
      </c>
      <c r="G8" s="24">
        <v>28000</v>
      </c>
      <c r="H8" s="24">
        <v>18400</v>
      </c>
      <c r="I8" s="24">
        <v>0</v>
      </c>
      <c r="J8" s="24">
        <v>0</v>
      </c>
      <c r="K8" s="24">
        <v>0</v>
      </c>
      <c r="L8" s="24">
        <v>23000</v>
      </c>
      <c r="M8" s="24">
        <v>0</v>
      </c>
      <c r="N8" s="25"/>
      <c r="O8" s="25"/>
      <c r="P8" s="25"/>
      <c r="Q8" s="25"/>
      <c r="R8" s="26">
        <f t="shared" si="0"/>
        <v>250400</v>
      </c>
    </row>
    <row r="9" spans="1:18" s="20" customFormat="1" ht="31.5">
      <c r="B9" s="21">
        <v>5</v>
      </c>
      <c r="C9" s="22" t="s">
        <v>26</v>
      </c>
      <c r="D9" s="22"/>
      <c r="E9" s="25" t="s">
        <v>27</v>
      </c>
      <c r="F9" s="24">
        <v>174000</v>
      </c>
      <c r="G9" s="24">
        <v>22000</v>
      </c>
      <c r="H9" s="24">
        <v>17500</v>
      </c>
      <c r="I9" s="24">
        <v>4500</v>
      </c>
      <c r="J9" s="24">
        <v>10000</v>
      </c>
      <c r="K9" s="24">
        <v>9000</v>
      </c>
      <c r="L9" s="24">
        <v>31000</v>
      </c>
      <c r="M9" s="24">
        <v>0</v>
      </c>
      <c r="N9" s="25"/>
      <c r="O9" s="25"/>
      <c r="P9" s="25"/>
      <c r="Q9" s="25"/>
      <c r="R9" s="26">
        <f t="shared" si="0"/>
        <v>268000</v>
      </c>
    </row>
    <row r="10" spans="1:18" s="20" customFormat="1" ht="31.5">
      <c r="B10" s="21">
        <v>6</v>
      </c>
      <c r="C10" s="22" t="s">
        <v>28</v>
      </c>
      <c r="D10" s="22"/>
      <c r="E10" s="28"/>
      <c r="F10" s="24">
        <v>200000</v>
      </c>
      <c r="G10" s="24">
        <v>32800</v>
      </c>
      <c r="H10" s="24">
        <v>25300</v>
      </c>
      <c r="I10" s="24">
        <v>7900</v>
      </c>
      <c r="J10" s="24">
        <v>17000</v>
      </c>
      <c r="K10" s="24">
        <v>14000</v>
      </c>
      <c r="L10" s="24">
        <v>61000</v>
      </c>
      <c r="M10" s="24">
        <v>0</v>
      </c>
      <c r="N10" s="25"/>
      <c r="O10" s="25"/>
      <c r="P10" s="25"/>
      <c r="Q10" s="25"/>
      <c r="R10" s="26">
        <f t="shared" si="0"/>
        <v>358000</v>
      </c>
    </row>
    <row r="11" spans="1:18" s="20" customFormat="1" ht="31.5">
      <c r="B11" s="21">
        <v>7</v>
      </c>
      <c r="C11" s="22" t="s">
        <v>29</v>
      </c>
      <c r="D11" s="22"/>
      <c r="E11" s="28"/>
      <c r="F11" s="24">
        <v>148000</v>
      </c>
      <c r="G11" s="24">
        <v>17000</v>
      </c>
      <c r="H11" s="24">
        <v>9000</v>
      </c>
      <c r="I11" s="24">
        <v>0</v>
      </c>
      <c r="J11" s="24">
        <v>4000</v>
      </c>
      <c r="K11" s="24">
        <v>0</v>
      </c>
      <c r="L11" s="24">
        <v>22000</v>
      </c>
      <c r="M11" s="24">
        <v>0</v>
      </c>
      <c r="N11" s="25"/>
      <c r="O11" s="25"/>
      <c r="P11" s="25"/>
      <c r="Q11" s="25"/>
      <c r="R11" s="26">
        <f t="shared" si="0"/>
        <v>200000</v>
      </c>
    </row>
    <row r="12" spans="1:18" s="20" customFormat="1" ht="31.5">
      <c r="B12" s="21">
        <v>8</v>
      </c>
      <c r="C12" s="22" t="s">
        <v>30</v>
      </c>
      <c r="D12" s="22"/>
      <c r="E12" s="28"/>
      <c r="F12" s="24">
        <v>166000</v>
      </c>
      <c r="G12" s="24">
        <v>20200</v>
      </c>
      <c r="H12" s="24">
        <v>13200</v>
      </c>
      <c r="I12" s="24">
        <v>0</v>
      </c>
      <c r="J12" s="24">
        <v>6800</v>
      </c>
      <c r="K12" s="24">
        <v>3000</v>
      </c>
      <c r="L12" s="24">
        <v>28800</v>
      </c>
      <c r="M12" s="24">
        <v>0</v>
      </c>
      <c r="N12" s="25"/>
      <c r="O12" s="25"/>
      <c r="P12" s="25"/>
      <c r="Q12" s="25"/>
      <c r="R12" s="26">
        <f t="shared" si="0"/>
        <v>238000</v>
      </c>
    </row>
    <row r="13" spans="1:18" s="20" customFormat="1" ht="31.5">
      <c r="B13" s="21">
        <v>9</v>
      </c>
      <c r="C13" s="22" t="s">
        <v>31</v>
      </c>
      <c r="D13" s="22"/>
      <c r="E13" s="28"/>
      <c r="F13" s="24">
        <v>178200</v>
      </c>
      <c r="G13" s="24">
        <v>22500</v>
      </c>
      <c r="H13" s="24">
        <v>18000</v>
      </c>
      <c r="I13" s="24">
        <v>0</v>
      </c>
      <c r="J13" s="24">
        <v>6000</v>
      </c>
      <c r="K13" s="24">
        <v>0</v>
      </c>
      <c r="L13" s="24">
        <v>25300</v>
      </c>
      <c r="M13" s="24">
        <v>0</v>
      </c>
      <c r="N13" s="25"/>
      <c r="O13" s="25"/>
      <c r="P13" s="25"/>
      <c r="Q13" s="25"/>
      <c r="R13" s="26">
        <f t="shared" si="0"/>
        <v>250000</v>
      </c>
    </row>
    <row r="14" spans="1:18" s="20" customFormat="1" ht="31.5">
      <c r="B14" s="21">
        <v>10</v>
      </c>
      <c r="C14" s="22" t="s">
        <v>32</v>
      </c>
      <c r="D14" s="22"/>
      <c r="E14" s="28"/>
      <c r="F14" s="24">
        <v>187000</v>
      </c>
      <c r="G14" s="24">
        <v>16300</v>
      </c>
      <c r="H14" s="24">
        <v>10700</v>
      </c>
      <c r="I14" s="24">
        <v>7900</v>
      </c>
      <c r="J14" s="24">
        <v>9800</v>
      </c>
      <c r="K14" s="24">
        <v>6000</v>
      </c>
      <c r="L14" s="24">
        <v>56200</v>
      </c>
      <c r="M14" s="24">
        <v>0</v>
      </c>
      <c r="N14" s="24">
        <v>13000</v>
      </c>
      <c r="O14" s="24"/>
      <c r="P14" s="24"/>
      <c r="Q14" s="24">
        <v>26100</v>
      </c>
      <c r="R14" s="26">
        <f t="shared" si="0"/>
        <v>333000</v>
      </c>
    </row>
    <row r="15" spans="1:18" s="27" customFormat="1" ht="31.5">
      <c r="B15" s="29">
        <v>11</v>
      </c>
      <c r="C15" s="30" t="s">
        <v>33</v>
      </c>
      <c r="D15" s="30"/>
      <c r="E15" s="31"/>
      <c r="F15" s="24">
        <v>210000</v>
      </c>
      <c r="G15" s="24">
        <v>28000</v>
      </c>
      <c r="H15" s="24">
        <v>13000</v>
      </c>
      <c r="I15" s="24">
        <v>0</v>
      </c>
      <c r="J15" s="24">
        <v>26000</v>
      </c>
      <c r="K15" s="24">
        <v>0</v>
      </c>
      <c r="L15" s="24">
        <v>21000</v>
      </c>
      <c r="M15" s="24">
        <v>0</v>
      </c>
      <c r="N15" s="24">
        <v>7000</v>
      </c>
      <c r="O15" s="24">
        <v>30000</v>
      </c>
      <c r="P15" s="24">
        <v>9000</v>
      </c>
      <c r="Q15" s="24">
        <v>16000</v>
      </c>
      <c r="R15" s="26">
        <f t="shared" si="0"/>
        <v>360000</v>
      </c>
    </row>
    <row r="16" spans="1:18" s="27" customFormat="1" ht="31.5">
      <c r="B16" s="29">
        <v>12</v>
      </c>
      <c r="C16" s="30" t="s">
        <v>34</v>
      </c>
      <c r="D16" s="30"/>
      <c r="E16" s="31"/>
      <c r="F16" s="24">
        <v>185000</v>
      </c>
      <c r="G16" s="24">
        <v>26000</v>
      </c>
      <c r="H16" s="24">
        <v>12000</v>
      </c>
      <c r="I16" s="24">
        <v>0</v>
      </c>
      <c r="J16" s="24">
        <v>24000</v>
      </c>
      <c r="K16" s="24">
        <v>0</v>
      </c>
      <c r="L16" s="24">
        <v>21000</v>
      </c>
      <c r="M16" s="24">
        <v>0</v>
      </c>
      <c r="N16" s="24">
        <v>15000</v>
      </c>
      <c r="O16" s="24">
        <v>34000</v>
      </c>
      <c r="P16" s="24">
        <v>6000</v>
      </c>
      <c r="Q16" s="24">
        <v>16000</v>
      </c>
      <c r="R16" s="26">
        <f t="shared" si="0"/>
        <v>339000</v>
      </c>
    </row>
    <row r="17" spans="2:18" s="27" customFormat="1" ht="31.5">
      <c r="B17" s="29">
        <v>13</v>
      </c>
      <c r="C17" s="30" t="s">
        <v>35</v>
      </c>
      <c r="D17" s="30"/>
      <c r="E17" s="31"/>
      <c r="F17" s="24">
        <v>130000</v>
      </c>
      <c r="G17" s="24">
        <v>10000</v>
      </c>
      <c r="H17" s="24">
        <v>5000</v>
      </c>
      <c r="I17" s="24">
        <v>0</v>
      </c>
      <c r="J17" s="24">
        <v>2500</v>
      </c>
      <c r="K17" s="24">
        <v>0</v>
      </c>
      <c r="L17" s="24">
        <v>7000</v>
      </c>
      <c r="M17" s="24">
        <v>0</v>
      </c>
      <c r="N17" s="24">
        <v>1500</v>
      </c>
      <c r="O17" s="24">
        <v>3000</v>
      </c>
      <c r="P17" s="24">
        <v>2000</v>
      </c>
      <c r="Q17" s="24">
        <v>7000</v>
      </c>
      <c r="R17" s="26">
        <f t="shared" si="0"/>
        <v>168000</v>
      </c>
    </row>
    <row r="18" spans="2:18" s="27" customFormat="1" ht="31.5">
      <c r="B18" s="29">
        <v>14</v>
      </c>
      <c r="C18" s="30" t="s">
        <v>36</v>
      </c>
      <c r="D18" s="30"/>
      <c r="E18" s="31"/>
      <c r="F18" s="24">
        <v>130000</v>
      </c>
      <c r="G18" s="24">
        <v>13000</v>
      </c>
      <c r="H18" s="24">
        <v>7000</v>
      </c>
      <c r="I18" s="24">
        <v>0</v>
      </c>
      <c r="J18" s="24">
        <v>4000</v>
      </c>
      <c r="K18" s="24">
        <v>0</v>
      </c>
      <c r="L18" s="24">
        <v>9000</v>
      </c>
      <c r="M18" s="24">
        <v>0</v>
      </c>
      <c r="N18" s="24">
        <v>2500</v>
      </c>
      <c r="O18" s="24">
        <v>4000</v>
      </c>
      <c r="P18" s="24">
        <v>4000</v>
      </c>
      <c r="Q18" s="24">
        <v>7500</v>
      </c>
      <c r="R18" s="26">
        <f t="shared" si="0"/>
        <v>181000</v>
      </c>
    </row>
    <row r="19" spans="2:18" s="20" customFormat="1" ht="31.5">
      <c r="B19" s="21">
        <v>15</v>
      </c>
      <c r="C19" s="22" t="s">
        <v>37</v>
      </c>
      <c r="D19" s="22"/>
      <c r="E19" s="28"/>
      <c r="F19" s="24">
        <v>146000</v>
      </c>
      <c r="G19" s="24">
        <v>18000</v>
      </c>
      <c r="H19" s="24">
        <v>12000</v>
      </c>
      <c r="I19" s="24">
        <v>0</v>
      </c>
      <c r="J19" s="24">
        <v>13000</v>
      </c>
      <c r="K19" s="24">
        <v>0</v>
      </c>
      <c r="L19" s="24">
        <v>17000</v>
      </c>
      <c r="M19" s="24">
        <v>0</v>
      </c>
      <c r="N19" s="24">
        <v>3500</v>
      </c>
      <c r="O19" s="24">
        <v>4500</v>
      </c>
      <c r="P19" s="24">
        <v>5000</v>
      </c>
      <c r="Q19" s="24">
        <v>12000</v>
      </c>
      <c r="R19" s="26">
        <f t="shared" si="0"/>
        <v>231000</v>
      </c>
    </row>
    <row r="20" spans="2:18" s="20" customFormat="1" ht="47.25">
      <c r="B20" s="21">
        <v>16</v>
      </c>
      <c r="C20" s="22" t="s">
        <v>38</v>
      </c>
      <c r="D20" s="22"/>
      <c r="E20" s="25" t="s">
        <v>27</v>
      </c>
      <c r="F20" s="24">
        <v>280000</v>
      </c>
      <c r="G20" s="24">
        <v>42000</v>
      </c>
      <c r="H20" s="24">
        <v>19000</v>
      </c>
      <c r="I20" s="24">
        <v>12000</v>
      </c>
      <c r="J20" s="24">
        <v>24000</v>
      </c>
      <c r="K20" s="24">
        <v>13000</v>
      </c>
      <c r="L20" s="24">
        <v>60000</v>
      </c>
      <c r="M20" s="24">
        <v>0</v>
      </c>
      <c r="N20" s="25"/>
      <c r="O20" s="25"/>
      <c r="P20" s="25"/>
      <c r="Q20" s="25"/>
      <c r="R20" s="26">
        <f t="shared" si="0"/>
        <v>450000</v>
      </c>
    </row>
    <row r="21" spans="2:18" s="20" customFormat="1" ht="31.5">
      <c r="B21" s="21">
        <v>17</v>
      </c>
      <c r="C21" s="22" t="s">
        <v>39</v>
      </c>
      <c r="D21" s="22"/>
      <c r="E21" s="24">
        <v>63000</v>
      </c>
      <c r="F21" s="24">
        <v>27000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24">
        <v>12000</v>
      </c>
      <c r="N21" s="25"/>
      <c r="O21" s="25"/>
      <c r="P21" s="25"/>
      <c r="Q21" s="25"/>
      <c r="R21" s="26">
        <f t="shared" si="0"/>
        <v>102000</v>
      </c>
    </row>
    <row r="22" spans="2:18" s="27" customFormat="1" ht="31.5">
      <c r="B22" s="29">
        <v>18</v>
      </c>
      <c r="C22" s="30" t="s">
        <v>40</v>
      </c>
      <c r="D22" s="30"/>
      <c r="E22" s="33">
        <v>27000</v>
      </c>
      <c r="F22" s="33">
        <v>31000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3">
        <v>10000</v>
      </c>
      <c r="N22" s="35"/>
      <c r="O22" s="35"/>
      <c r="P22" s="35"/>
      <c r="Q22" s="35"/>
      <c r="R22" s="26">
        <f t="shared" si="0"/>
        <v>68000</v>
      </c>
    </row>
    <row r="23" spans="2:18" s="20" customFormat="1" ht="31.5">
      <c r="B23" s="21">
        <v>19</v>
      </c>
      <c r="C23" s="22" t="s">
        <v>41</v>
      </c>
      <c r="D23" s="22"/>
      <c r="E23" s="24">
        <v>50000</v>
      </c>
      <c r="F23" s="24">
        <v>26000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24">
        <v>12000</v>
      </c>
      <c r="N23" s="25"/>
      <c r="O23" s="25"/>
      <c r="P23" s="25"/>
      <c r="Q23" s="25"/>
      <c r="R23" s="26">
        <f t="shared" si="0"/>
        <v>88000</v>
      </c>
    </row>
    <row r="24" spans="2:18" s="20" customFormat="1" ht="31.5">
      <c r="B24" s="21">
        <v>20</v>
      </c>
      <c r="C24" s="22" t="s">
        <v>42</v>
      </c>
      <c r="D24" s="22"/>
      <c r="E24" s="25" t="s">
        <v>27</v>
      </c>
      <c r="F24" s="24">
        <v>95000</v>
      </c>
      <c r="G24" s="24">
        <v>0</v>
      </c>
      <c r="H24" s="24">
        <v>6000</v>
      </c>
      <c r="I24" s="24">
        <v>0</v>
      </c>
      <c r="J24" s="24">
        <v>3000</v>
      </c>
      <c r="K24" s="24">
        <v>0</v>
      </c>
      <c r="L24" s="24">
        <v>8000</v>
      </c>
      <c r="M24" s="24">
        <v>0</v>
      </c>
      <c r="N24" s="25"/>
      <c r="O24" s="25"/>
      <c r="P24" s="25"/>
      <c r="Q24" s="25"/>
      <c r="R24" s="26">
        <f t="shared" si="0"/>
        <v>112000</v>
      </c>
    </row>
    <row r="25" spans="2:18" s="20" customFormat="1" ht="31.5">
      <c r="B25" s="21">
        <v>21</v>
      </c>
      <c r="C25" s="22" t="s">
        <v>43</v>
      </c>
      <c r="D25" s="22"/>
      <c r="E25" s="25" t="s">
        <v>27</v>
      </c>
      <c r="F25" s="24">
        <v>130000</v>
      </c>
      <c r="G25" s="24">
        <v>0</v>
      </c>
      <c r="H25" s="24">
        <v>8400</v>
      </c>
      <c r="I25" s="24">
        <v>6000</v>
      </c>
      <c r="J25" s="24">
        <v>9800</v>
      </c>
      <c r="K25" s="24">
        <v>0</v>
      </c>
      <c r="L25" s="24">
        <v>15800</v>
      </c>
      <c r="M25" s="24">
        <v>0</v>
      </c>
      <c r="N25" s="25"/>
      <c r="O25" s="25"/>
      <c r="P25" s="25"/>
      <c r="Q25" s="25"/>
      <c r="R25" s="26">
        <f t="shared" si="0"/>
        <v>170000</v>
      </c>
    </row>
    <row r="26" spans="2:18" s="20" customFormat="1" ht="31.5">
      <c r="B26" s="21">
        <v>22</v>
      </c>
      <c r="C26" s="22" t="s">
        <v>44</v>
      </c>
      <c r="D26" s="22"/>
      <c r="E26" s="28"/>
      <c r="F26" s="24">
        <v>105000</v>
      </c>
      <c r="G26" s="24">
        <v>0</v>
      </c>
      <c r="H26" s="24">
        <v>0</v>
      </c>
      <c r="I26" s="24">
        <v>5300</v>
      </c>
      <c r="J26" s="24">
        <v>0</v>
      </c>
      <c r="K26" s="24">
        <v>0</v>
      </c>
      <c r="L26" s="24">
        <v>4200</v>
      </c>
      <c r="M26" s="24">
        <v>0</v>
      </c>
      <c r="N26" s="25"/>
      <c r="O26" s="25"/>
      <c r="P26" s="25"/>
      <c r="Q26" s="25"/>
      <c r="R26" s="26">
        <f t="shared" si="0"/>
        <v>114500</v>
      </c>
    </row>
    <row r="27" spans="2:18" s="20" customFormat="1" ht="31.5">
      <c r="B27" s="21">
        <v>23</v>
      </c>
      <c r="C27" s="22" t="s">
        <v>45</v>
      </c>
      <c r="D27" s="22"/>
      <c r="E27" s="28"/>
      <c r="F27" s="24">
        <v>126000</v>
      </c>
      <c r="G27" s="24">
        <v>11000</v>
      </c>
      <c r="H27" s="24">
        <v>5200</v>
      </c>
      <c r="I27" s="24">
        <v>4300</v>
      </c>
      <c r="J27" s="24">
        <v>3600</v>
      </c>
      <c r="K27" s="24">
        <v>0</v>
      </c>
      <c r="L27" s="24">
        <v>22000</v>
      </c>
      <c r="M27" s="24">
        <v>0</v>
      </c>
      <c r="N27" s="25"/>
      <c r="O27" s="25"/>
      <c r="P27" s="25"/>
      <c r="Q27" s="25"/>
      <c r="R27" s="26">
        <f t="shared" si="0"/>
        <v>172100</v>
      </c>
    </row>
    <row r="28" spans="2:18" ht="18.75">
      <c r="B28" s="9"/>
      <c r="C28" s="36" t="s">
        <v>46</v>
      </c>
      <c r="D28" s="36"/>
      <c r="E28" s="9"/>
      <c r="F28" s="10"/>
      <c r="G28" s="11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4" t="s">
        <v>27</v>
      </c>
    </row>
    <row r="29" spans="2:18" ht="15.75">
      <c r="B29" s="37"/>
      <c r="C29" s="38"/>
      <c r="D29" s="38"/>
      <c r="E29" s="37" t="s">
        <v>47</v>
      </c>
      <c r="F29" s="39"/>
      <c r="G29" s="39"/>
      <c r="H29" s="40"/>
      <c r="I29" s="37" t="s">
        <v>48</v>
      </c>
      <c r="J29" s="41"/>
      <c r="K29" s="41"/>
      <c r="L29" s="41"/>
      <c r="M29" s="41"/>
      <c r="N29" s="41"/>
      <c r="O29" s="41"/>
      <c r="P29" s="41"/>
      <c r="Q29" s="41"/>
      <c r="R29" s="42"/>
    </row>
    <row r="30" spans="2:18" s="46" customFormat="1" ht="18.75">
      <c r="B30" s="43"/>
      <c r="C30" s="44">
        <v>1</v>
      </c>
      <c r="D30" s="44"/>
      <c r="E30" s="45" t="s">
        <v>49</v>
      </c>
      <c r="G30" s="47">
        <v>0.95</v>
      </c>
      <c r="H30" s="48"/>
      <c r="I30" s="44">
        <v>1</v>
      </c>
      <c r="J30" s="45" t="s">
        <v>49</v>
      </c>
      <c r="L30" s="47">
        <v>1</v>
      </c>
      <c r="M30" s="49"/>
      <c r="N30" s="49"/>
      <c r="O30" s="49"/>
      <c r="P30" s="49"/>
      <c r="Q30" s="49"/>
    </row>
    <row r="31" spans="2:18" s="46" customFormat="1" ht="18.75">
      <c r="B31" s="43"/>
      <c r="C31" s="44">
        <v>2</v>
      </c>
      <c r="D31" s="44"/>
      <c r="E31" s="45" t="s">
        <v>50</v>
      </c>
      <c r="G31" s="47">
        <v>0.88</v>
      </c>
      <c r="H31" s="48"/>
      <c r="I31" s="44">
        <v>2</v>
      </c>
      <c r="J31" s="45" t="s">
        <v>50</v>
      </c>
      <c r="L31" s="47">
        <v>1.35</v>
      </c>
      <c r="M31" s="49"/>
      <c r="N31" s="49"/>
      <c r="O31" s="49"/>
      <c r="P31" s="49"/>
      <c r="Q31" s="49"/>
    </row>
    <row r="32" spans="2:18" s="46" customFormat="1" ht="18.75">
      <c r="B32" s="43"/>
      <c r="C32" s="44">
        <v>3</v>
      </c>
      <c r="D32" s="44"/>
      <c r="E32" s="45" t="s">
        <v>51</v>
      </c>
      <c r="G32" s="47">
        <v>0.8</v>
      </c>
      <c r="H32" s="48"/>
      <c r="I32" s="44">
        <v>3</v>
      </c>
      <c r="J32" s="45" t="s">
        <v>51</v>
      </c>
      <c r="L32" s="47">
        <v>1.5</v>
      </c>
      <c r="M32" s="75" t="s">
        <v>52</v>
      </c>
      <c r="N32" s="75"/>
      <c r="O32" s="75"/>
      <c r="P32" s="75"/>
      <c r="Q32" s="75"/>
      <c r="R32" s="76"/>
    </row>
    <row r="33" spans="2:18" ht="15.75">
      <c r="B33" s="9"/>
      <c r="C33" s="9"/>
      <c r="D33" s="9"/>
      <c r="E33" s="9"/>
      <c r="F33" s="9"/>
      <c r="G33" s="11"/>
      <c r="H33" s="12"/>
      <c r="I33" s="12"/>
      <c r="J33" s="12"/>
      <c r="K33" s="12"/>
      <c r="L33" s="13"/>
      <c r="M33" s="13"/>
      <c r="N33" s="13"/>
      <c r="O33" s="13"/>
      <c r="P33" s="13"/>
      <c r="Q33" s="13"/>
      <c r="R33" s="14"/>
    </row>
    <row r="34" spans="2:18" ht="15.75">
      <c r="B34" s="9"/>
      <c r="C34" s="9"/>
      <c r="D34" s="9"/>
      <c r="E34" s="9"/>
      <c r="F34" s="9"/>
      <c r="G34" s="11"/>
      <c r="H34" s="12"/>
      <c r="I34" s="12"/>
      <c r="J34" s="12"/>
      <c r="K34" s="12"/>
      <c r="L34" s="13"/>
      <c r="M34" s="13"/>
      <c r="N34" s="13"/>
      <c r="O34" s="13"/>
      <c r="P34" s="13"/>
      <c r="Q34" s="13"/>
      <c r="R34" s="14"/>
    </row>
    <row r="35" spans="2:18" ht="15.75">
      <c r="B35" s="9"/>
      <c r="C35" s="9"/>
      <c r="D35" s="9"/>
      <c r="E35" s="9"/>
      <c r="F35" s="9"/>
      <c r="G35" s="11"/>
      <c r="H35" s="12"/>
      <c r="I35" s="12"/>
      <c r="J35" s="12"/>
      <c r="K35" s="12"/>
      <c r="L35" s="13"/>
      <c r="M35" s="13"/>
      <c r="N35" s="13"/>
      <c r="O35" s="13"/>
      <c r="P35" s="13"/>
      <c r="Q35" s="13"/>
      <c r="R35" s="14"/>
    </row>
    <row r="36" spans="2:18" ht="15.75">
      <c r="B36" s="9"/>
      <c r="C36" s="9"/>
      <c r="D36" s="9"/>
      <c r="E36" s="9"/>
      <c r="F36" s="9"/>
      <c r="G36" s="11"/>
      <c r="H36" s="12"/>
      <c r="I36" s="12"/>
      <c r="J36" s="12"/>
      <c r="K36" s="12"/>
      <c r="L36" s="13"/>
      <c r="M36" s="13"/>
      <c r="N36" s="13"/>
      <c r="O36" s="13"/>
      <c r="P36" s="13"/>
      <c r="Q36" s="13"/>
      <c r="R36" s="14"/>
    </row>
    <row r="37" spans="2:18" ht="15.75">
      <c r="B37" s="9"/>
      <c r="C37" s="9"/>
      <c r="D37" s="9"/>
      <c r="E37" s="9"/>
      <c r="F37" s="9"/>
      <c r="G37" s="11"/>
      <c r="H37" s="12"/>
      <c r="I37" s="12"/>
      <c r="J37" s="12"/>
      <c r="K37" s="12"/>
      <c r="L37" s="13"/>
      <c r="M37" s="13"/>
      <c r="N37" s="13"/>
      <c r="O37" s="13"/>
      <c r="P37" s="13"/>
      <c r="Q37" s="13"/>
      <c r="R37" s="14"/>
    </row>
    <row r="38" spans="2:18" ht="15.75">
      <c r="B38" s="9"/>
      <c r="C38" s="9"/>
      <c r="D38" s="9"/>
      <c r="E38" s="9"/>
      <c r="F38" s="9"/>
      <c r="G38" s="11"/>
      <c r="H38" s="12"/>
      <c r="I38" s="12"/>
      <c r="J38" s="12"/>
      <c r="K38" s="12"/>
      <c r="L38" s="13"/>
      <c r="M38" s="13"/>
      <c r="N38" s="13"/>
      <c r="O38" s="13"/>
      <c r="P38" s="13"/>
      <c r="Q38" s="13"/>
      <c r="R38" s="14"/>
    </row>
    <row r="39" spans="2:18" ht="15.75">
      <c r="B39" s="9"/>
      <c r="C39" s="9"/>
      <c r="D39" s="9"/>
      <c r="E39" s="9"/>
      <c r="F39" s="9"/>
      <c r="G39" s="11"/>
      <c r="H39" s="12"/>
      <c r="I39" s="12"/>
      <c r="J39" s="12"/>
      <c r="K39" s="12"/>
      <c r="L39" s="13"/>
      <c r="M39" s="13"/>
      <c r="N39" s="13"/>
      <c r="O39" s="13"/>
      <c r="P39" s="13"/>
      <c r="Q39" s="13"/>
      <c r="R39" s="14"/>
    </row>
    <row r="40" spans="2:18" ht="15.75">
      <c r="B40" s="9"/>
      <c r="C40" s="9"/>
      <c r="D40" s="9"/>
      <c r="E40" s="9"/>
      <c r="F40" s="9"/>
      <c r="G40" s="11"/>
      <c r="H40" s="12"/>
      <c r="I40" s="12"/>
      <c r="J40" s="12"/>
      <c r="K40" s="12"/>
      <c r="L40" s="13"/>
      <c r="M40" s="13"/>
      <c r="N40" s="13"/>
      <c r="O40" s="13"/>
      <c r="P40" s="13"/>
      <c r="Q40" s="13"/>
      <c r="R40" s="14"/>
    </row>
    <row r="41" spans="2:18" ht="15.75">
      <c r="B41" s="9"/>
      <c r="C41" s="9"/>
      <c r="D41" s="9"/>
      <c r="E41" s="9"/>
      <c r="F41" s="9"/>
      <c r="G41" s="11"/>
      <c r="H41" s="12"/>
      <c r="I41" s="12"/>
      <c r="J41" s="12"/>
      <c r="K41" s="12"/>
      <c r="L41" s="13"/>
      <c r="M41" s="13"/>
      <c r="N41" s="13"/>
      <c r="O41" s="13"/>
      <c r="P41" s="13"/>
      <c r="Q41" s="13"/>
      <c r="R41" s="14"/>
    </row>
    <row r="42" spans="2:18" ht="15.75">
      <c r="B42" s="9"/>
      <c r="C42" s="9"/>
      <c r="D42" s="9"/>
      <c r="E42" s="9"/>
      <c r="F42" s="9"/>
      <c r="G42" s="11"/>
      <c r="H42" s="12"/>
      <c r="I42" s="12"/>
      <c r="J42" s="12"/>
      <c r="K42" s="12"/>
      <c r="L42" s="13"/>
      <c r="M42" s="13"/>
      <c r="N42" s="13"/>
      <c r="O42" s="13"/>
      <c r="P42" s="13"/>
      <c r="Q42" s="13"/>
      <c r="R42" s="14"/>
    </row>
    <row r="43" spans="2:18" ht="15.75">
      <c r="B43" s="9"/>
      <c r="C43" s="9"/>
      <c r="D43" s="9"/>
      <c r="E43" s="9"/>
      <c r="F43" s="9"/>
      <c r="G43" s="11"/>
      <c r="H43" s="12"/>
      <c r="I43" s="12"/>
      <c r="J43" s="12"/>
      <c r="K43" s="12"/>
      <c r="L43" s="13"/>
      <c r="M43" s="13"/>
      <c r="N43" s="13"/>
      <c r="O43" s="13"/>
      <c r="P43" s="13"/>
      <c r="Q43" s="13"/>
      <c r="R43" s="14"/>
    </row>
    <row r="44" spans="2:18" ht="15.75">
      <c r="B44" s="9"/>
      <c r="C44" s="9"/>
      <c r="D44" s="9"/>
      <c r="E44" s="9"/>
      <c r="F44" s="9"/>
      <c r="G44" s="11"/>
      <c r="H44" s="12"/>
      <c r="I44" s="12"/>
      <c r="J44" s="12"/>
      <c r="K44" s="12"/>
      <c r="L44" s="13"/>
      <c r="M44" s="13"/>
      <c r="N44" s="13"/>
      <c r="O44" s="13"/>
      <c r="P44" s="13"/>
      <c r="Q44" s="13"/>
      <c r="R44" s="14"/>
    </row>
    <row r="45" spans="2:18" ht="15.75">
      <c r="B45" s="9"/>
      <c r="C45" s="9"/>
      <c r="D45" s="9"/>
      <c r="E45" s="9"/>
      <c r="F45" s="9"/>
      <c r="G45" s="11"/>
      <c r="H45" s="12"/>
      <c r="I45" s="12"/>
      <c r="J45" s="12"/>
      <c r="K45" s="12"/>
      <c r="L45" s="13"/>
      <c r="M45" s="13"/>
      <c r="N45" s="13"/>
      <c r="O45" s="13"/>
      <c r="P45" s="13"/>
      <c r="Q45" s="13"/>
      <c r="R45" s="14"/>
    </row>
    <row r="46" spans="2:18" ht="15.75">
      <c r="B46" s="9"/>
      <c r="G46" s="11"/>
      <c r="H46" s="12"/>
      <c r="I46" s="12"/>
      <c r="J46" s="12"/>
      <c r="K46" s="12"/>
      <c r="L46" s="13"/>
      <c r="M46" s="13"/>
      <c r="N46" s="13"/>
      <c r="O46" s="13"/>
      <c r="P46" s="13"/>
      <c r="Q46" s="13"/>
      <c r="R46" s="14"/>
    </row>
    <row r="47" spans="2:18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</row>
    <row r="48" spans="2:18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</row>
    <row r="49" spans="2:18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</row>
    <row r="50" spans="2:18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</row>
    <row r="51" spans="2:18"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</row>
    <row r="52" spans="2:18"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</row>
    <row r="53" spans="2:18"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</row>
    <row r="54" spans="2:18"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</row>
    <row r="55" spans="2:18"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pans="2:18"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</row>
    <row r="57" spans="2:18"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2:18"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2:18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</row>
    <row r="60" spans="2:18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2:18"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2:18"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</row>
    <row r="63" spans="2:18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</row>
    <row r="64" spans="2:18"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</row>
    <row r="65" spans="2:18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</row>
    <row r="66" spans="2:18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</row>
    <row r="67" spans="2:18"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</row>
    <row r="68" spans="2:18"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</row>
    <row r="69" spans="2:18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</row>
    <row r="70" spans="2:18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</row>
    <row r="71" spans="2:18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</row>
    <row r="72" spans="2:18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</row>
    <row r="73" spans="2:18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</row>
    <row r="74" spans="2:18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</row>
    <row r="75" spans="2:18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</row>
    <row r="76" spans="2:18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</row>
    <row r="77" spans="2:18"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</row>
    <row r="78" spans="2:18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</row>
    <row r="79" spans="2:18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</row>
    <row r="80" spans="2:18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</row>
  </sheetData>
  <mergeCells count="1">
    <mergeCell ref="M32:R32"/>
  </mergeCells>
  <pageMargins left="0.70866141732283472" right="0.39370078740157483" top="0.62992125984251968" bottom="0.59055118110236227" header="0.31496062992125984" footer="0.31496062992125984"/>
  <pageSetup paperSize="9" scale="50" orientation="landscape" verticalDpi="0" r:id="rId1"/>
  <headerFooter>
    <oddFooter>&amp;L&amp;F/&amp;A&amp;R&amp;P/&amp;N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1_ALAPADATOK</vt:lpstr>
      <vt:lpstr>2_IRR_BMR_SZÁMÍTÁS</vt:lpstr>
      <vt:lpstr>3_EKS_2014</vt:lpstr>
      <vt:lpstr>'2_IRR_BMR_SZÁMÍTÁS'!Nyomtatási_terület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</dc:creator>
  <cp:lastModifiedBy>Markus</cp:lastModifiedBy>
  <cp:lastPrinted>2015-04-24T06:38:47Z</cp:lastPrinted>
  <dcterms:created xsi:type="dcterms:W3CDTF">2015-03-18T08:55:27Z</dcterms:created>
  <dcterms:modified xsi:type="dcterms:W3CDTF">2015-04-24T06:44:26Z</dcterms:modified>
</cp:coreProperties>
</file>